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65" windowWidth="14805" windowHeight="4065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ФСГС!$A$1:$AB$550</definedName>
  </definedNames>
  <calcPr calcId="145621"/>
</workbook>
</file>

<file path=xl/calcChain.xml><?xml version="1.0" encoding="utf-8"?>
<calcChain xmlns="http://schemas.openxmlformats.org/spreadsheetml/2006/main">
  <c r="V211" i="8" l="1"/>
  <c r="V210" i="8"/>
  <c r="V387" i="8"/>
  <c r="V212" i="8"/>
  <c r="V256" i="8"/>
  <c r="V461" i="8" l="1"/>
  <c r="V209" i="8" s="1"/>
  <c r="V121" i="8" l="1"/>
  <c r="V105" i="8"/>
  <c r="V137" i="8"/>
  <c r="V138" i="8" l="1"/>
  <c r="V136" i="8"/>
  <c r="Z27" i="8" l="1"/>
  <c r="Y27" i="8"/>
  <c r="X27" i="8"/>
  <c r="W27" i="8"/>
  <c r="X196" i="8" l="1"/>
  <c r="W196" i="8"/>
  <c r="X189" i="8"/>
  <c r="W189" i="8"/>
  <c r="X182" i="8"/>
  <c r="W182" i="8"/>
  <c r="X175" i="8"/>
  <c r="W175" i="8"/>
  <c r="V134" i="8" l="1"/>
  <c r="V27" i="8"/>
  <c r="W499" i="8"/>
  <c r="X499" i="8"/>
  <c r="V468" i="8"/>
  <c r="V476" i="8"/>
  <c r="V473" i="8"/>
  <c r="V470" i="8"/>
  <c r="V467" i="8"/>
  <c r="V172" i="8" l="1"/>
  <c r="Z26" i="8" l="1"/>
  <c r="Y26" i="8"/>
  <c r="X26" i="8"/>
  <c r="W26" i="8"/>
  <c r="V26" i="8"/>
  <c r="V184" i="8" l="1"/>
  <c r="V185" i="8"/>
  <c r="V177" i="8"/>
  <c r="V178" i="8"/>
  <c r="V191" i="8"/>
  <c r="V192" i="8"/>
  <c r="V198" i="8"/>
  <c r="V199" i="8"/>
  <c r="AA104" i="8"/>
  <c r="W71" i="8"/>
  <c r="X71" i="8"/>
  <c r="Y71" i="8"/>
  <c r="Z71" i="8"/>
  <c r="T71" i="8"/>
  <c r="V196" i="8"/>
  <c r="V189" i="8"/>
  <c r="V182" i="8"/>
  <c r="V175" i="8"/>
  <c r="V511" i="8" l="1"/>
  <c r="V506" i="8"/>
  <c r="V503" i="8"/>
  <c r="V500" i="8"/>
  <c r="V499" i="8"/>
  <c r="V502" i="8"/>
  <c r="V505" i="8"/>
  <c r="V508" i="8"/>
  <c r="AA79" i="8"/>
  <c r="W78" i="8"/>
  <c r="X78" i="8"/>
  <c r="Y78" i="8"/>
  <c r="Z78" i="8"/>
  <c r="V80" i="8"/>
  <c r="AA80" i="8" s="1"/>
  <c r="V81" i="8"/>
  <c r="U81" i="8"/>
  <c r="U78" i="8" s="1"/>
  <c r="T81" i="8"/>
  <c r="AA81" i="8" s="1"/>
  <c r="AA74" i="8"/>
  <c r="V75" i="8"/>
  <c r="V71" i="8" s="1"/>
  <c r="V76" i="8"/>
  <c r="V78" i="8" l="1"/>
  <c r="V67" i="8" s="1"/>
  <c r="T78" i="8"/>
  <c r="AA78" i="8" s="1"/>
  <c r="AA75" i="8"/>
  <c r="V95" i="8"/>
  <c r="U95" i="8"/>
  <c r="V103" i="8"/>
  <c r="V129" i="8"/>
  <c r="U391" i="8" l="1"/>
  <c r="U301" i="8"/>
  <c r="U261" i="8"/>
  <c r="U216" i="8"/>
  <c r="U138" i="8" l="1"/>
  <c r="U136" i="8"/>
  <c r="AA40" i="8"/>
  <c r="AA140" i="8"/>
  <c r="AA130" i="8"/>
  <c r="U208" i="8" l="1"/>
  <c r="U27" i="8" l="1"/>
  <c r="U149" i="8"/>
  <c r="U147" i="8"/>
  <c r="U112" i="8"/>
  <c r="U537" i="8"/>
  <c r="U129" i="8"/>
  <c r="U392" i="8"/>
  <c r="U387" i="8" s="1"/>
  <c r="U525" i="8"/>
  <c r="U491" i="8"/>
  <c r="U196" i="8"/>
  <c r="U197" i="8"/>
  <c r="U99" i="8"/>
  <c r="U65" i="8"/>
  <c r="U521" i="8"/>
  <c r="U487" i="8"/>
  <c r="U182" i="8"/>
  <c r="U181" i="8"/>
  <c r="U183" i="8"/>
  <c r="U91" i="8"/>
  <c r="U73" i="8"/>
  <c r="U71" i="8" s="1"/>
  <c r="U60" i="8"/>
  <c r="U303" i="8" l="1"/>
  <c r="U302" i="8"/>
  <c r="U523" i="8"/>
  <c r="U489" i="8"/>
  <c r="U189" i="8"/>
  <c r="U190" i="8"/>
  <c r="U114" i="8"/>
  <c r="U62" i="8"/>
  <c r="U217" i="8"/>
  <c r="U176" i="8"/>
  <c r="U175" i="8"/>
  <c r="U69" i="8"/>
  <c r="U58" i="8"/>
  <c r="U103" i="8" l="1"/>
  <c r="U105" i="8" l="1"/>
  <c r="U118" i="8"/>
  <c r="U461" i="8"/>
  <c r="U543" i="8"/>
  <c r="W134" i="8" l="1"/>
  <c r="X134" i="8"/>
  <c r="Y134" i="8"/>
  <c r="Z134" i="8"/>
  <c r="AA538" i="8" l="1"/>
  <c r="W535" i="8" l="1"/>
  <c r="X501" i="8" l="1"/>
  <c r="X504" i="8"/>
  <c r="X507" i="8"/>
  <c r="X496" i="8"/>
  <c r="AA127" i="8"/>
  <c r="W29" i="8"/>
  <c r="X29" i="8"/>
  <c r="Y29" i="8"/>
  <c r="Z29" i="8"/>
  <c r="U121" i="8" l="1"/>
  <c r="U137" i="8"/>
  <c r="U134" i="8" l="1"/>
  <c r="AA72" i="8" l="1"/>
  <c r="AA73" i="8"/>
  <c r="AA76" i="8"/>
  <c r="V131" i="8" l="1"/>
  <c r="W131" i="8"/>
  <c r="X131" i="8"/>
  <c r="Y131" i="8"/>
  <c r="Z131" i="8"/>
  <c r="U131" i="8" l="1"/>
  <c r="U486" i="8"/>
  <c r="U111" i="8"/>
  <c r="U87" i="8" l="1"/>
  <c r="U485" i="8"/>
  <c r="U195" i="8"/>
  <c r="U188" i="8"/>
  <c r="U174" i="8"/>
  <c r="U110" i="8"/>
  <c r="AA534" i="8" l="1"/>
  <c r="AA533" i="8"/>
  <c r="U210" i="8" l="1"/>
  <c r="U466" i="8"/>
  <c r="U465" i="8"/>
  <c r="U476" i="8"/>
  <c r="U473" i="8"/>
  <c r="U470" i="8"/>
  <c r="U467" i="8"/>
  <c r="U141" i="8"/>
  <c r="AA137" i="8" l="1"/>
  <c r="U202" i="8" l="1"/>
  <c r="U203" i="8"/>
  <c r="U169" i="8"/>
  <c r="U194" i="8"/>
  <c r="AA195" i="8"/>
  <c r="V194" i="8"/>
  <c r="W194" i="8"/>
  <c r="X194" i="8"/>
  <c r="Y194" i="8"/>
  <c r="Z194" i="8"/>
  <c r="V187" i="8"/>
  <c r="W187" i="8"/>
  <c r="X187" i="8"/>
  <c r="Y187" i="8"/>
  <c r="Z187" i="8"/>
  <c r="U187" i="8"/>
  <c r="AA188" i="8"/>
  <c r="V180" i="8"/>
  <c r="W180" i="8"/>
  <c r="X180" i="8"/>
  <c r="Y180" i="8"/>
  <c r="Z180" i="8"/>
  <c r="U180" i="8"/>
  <c r="T181" i="8"/>
  <c r="AA181" i="8" s="1"/>
  <c r="V173" i="8"/>
  <c r="W173" i="8"/>
  <c r="X173" i="8"/>
  <c r="Y173" i="8"/>
  <c r="Z173" i="8"/>
  <c r="AA174" i="8"/>
  <c r="AA175" i="8"/>
  <c r="AA176" i="8"/>
  <c r="U26" i="8"/>
  <c r="AA135" i="8"/>
  <c r="AA136" i="8"/>
  <c r="U211" i="8"/>
  <c r="AA392" i="8"/>
  <c r="AA391" i="8"/>
  <c r="AA301" i="8"/>
  <c r="AA261" i="8"/>
  <c r="U296" i="8"/>
  <c r="AA303" i="8"/>
  <c r="AA302" i="8"/>
  <c r="U256" i="8"/>
  <c r="W256" i="8"/>
  <c r="X256" i="8"/>
  <c r="Y256" i="8"/>
  <c r="Z256" i="8"/>
  <c r="U173" i="8" l="1"/>
  <c r="AA262" i="8"/>
  <c r="AA216" i="8"/>
  <c r="AA217" i="8"/>
  <c r="AA214" i="8"/>
  <c r="U212" i="8"/>
  <c r="U209" i="8" s="1"/>
  <c r="W212" i="8"/>
  <c r="X212" i="8"/>
  <c r="Y212" i="8"/>
  <c r="Z212" i="8"/>
  <c r="U132" i="8" l="1"/>
  <c r="U116" i="8" l="1"/>
  <c r="U497" i="8" l="1"/>
  <c r="U171" i="8"/>
  <c r="U144" i="8" s="1"/>
  <c r="V171" i="8" l="1"/>
  <c r="W171" i="8"/>
  <c r="X171" i="8"/>
  <c r="Y171" i="8"/>
  <c r="Z171" i="8"/>
  <c r="V169" i="8"/>
  <c r="W169" i="8"/>
  <c r="X169" i="8"/>
  <c r="Y169" i="8"/>
  <c r="Z169" i="8"/>
  <c r="AA27" i="8"/>
  <c r="AA26" i="8"/>
  <c r="X483" i="8"/>
  <c r="U172" i="8" l="1"/>
  <c r="AA172" i="8" s="1"/>
  <c r="AA193" i="8"/>
  <c r="AA192" i="8"/>
  <c r="AA191" i="8"/>
  <c r="AA186" i="8"/>
  <c r="AA179" i="8"/>
  <c r="AA199" i="8"/>
  <c r="AA200" i="8"/>
  <c r="AA198" i="8"/>
  <c r="AA515" i="8"/>
  <c r="AA537" i="8" l="1"/>
  <c r="AA500" i="8"/>
  <c r="AA133" i="8"/>
  <c r="AA120" i="8"/>
  <c r="AA102" i="8"/>
  <c r="AA100" i="8"/>
  <c r="AA98" i="8"/>
  <c r="AA96" i="8"/>
  <c r="AA94" i="8"/>
  <c r="AA92" i="8"/>
  <c r="AA90" i="8"/>
  <c r="AA88" i="8"/>
  <c r="AA113" i="8"/>
  <c r="AA117" i="8"/>
  <c r="AA115" i="8"/>
  <c r="AA139" i="8"/>
  <c r="AA49" i="8"/>
  <c r="Y32" i="8"/>
  <c r="Y28" i="8" s="1"/>
  <c r="Z32" i="8"/>
  <c r="Z28" i="8" s="1"/>
  <c r="Z109" i="8"/>
  <c r="Z108" i="8"/>
  <c r="Z86" i="8"/>
  <c r="Z38" i="8" s="1"/>
  <c r="Z85" i="8"/>
  <c r="Z84" i="8"/>
  <c r="Z83" i="8"/>
  <c r="Z68" i="8"/>
  <c r="Z37" i="8" s="1"/>
  <c r="Z67" i="8"/>
  <c r="Z57" i="8"/>
  <c r="Z36" i="8" s="1"/>
  <c r="Z56" i="8"/>
  <c r="Z50" i="8"/>
  <c r="Z41" i="8"/>
  <c r="Z35" i="8"/>
  <c r="Z33" i="8"/>
  <c r="Z30" i="8"/>
  <c r="AA128" i="8"/>
  <c r="AA125" i="8"/>
  <c r="AA126" i="8"/>
  <c r="AA124" i="8"/>
  <c r="Z132" i="8"/>
  <c r="AA183" i="8"/>
  <c r="AA197" i="8"/>
  <c r="AA190" i="8"/>
  <c r="AA476" i="8"/>
  <c r="AA470" i="8"/>
  <c r="AA467" i="8"/>
  <c r="AA494" i="8"/>
  <c r="AA493" i="8"/>
  <c r="AA492" i="8"/>
  <c r="AA490" i="8"/>
  <c r="AA488" i="8"/>
  <c r="AA486" i="8"/>
  <c r="Z484" i="8"/>
  <c r="Z480" i="8" s="1"/>
  <c r="Z483" i="8"/>
  <c r="Z210" i="8"/>
  <c r="Y464" i="8"/>
  <c r="AA478" i="8"/>
  <c r="AA477" i="8"/>
  <c r="AA475" i="8"/>
  <c r="AA474" i="8"/>
  <c r="AA473" i="8"/>
  <c r="AA472" i="8"/>
  <c r="AA471" i="8"/>
  <c r="AA469" i="8"/>
  <c r="AA468" i="8"/>
  <c r="AA463" i="8"/>
  <c r="AA462" i="8"/>
  <c r="Z466" i="8"/>
  <c r="Z465" i="8"/>
  <c r="Z151" i="8" s="1"/>
  <c r="Z464" i="8"/>
  <c r="Y466" i="8"/>
  <c r="Y465" i="8"/>
  <c r="Y151" i="8" s="1"/>
  <c r="Z152" i="8"/>
  <c r="Z153" i="8"/>
  <c r="AA163" i="8"/>
  <c r="AA165" i="8"/>
  <c r="AA185" i="8"/>
  <c r="AA184" i="8"/>
  <c r="AA178" i="8"/>
  <c r="AA177" i="8"/>
  <c r="Z168" i="8"/>
  <c r="Z167" i="8"/>
  <c r="AA202" i="8"/>
  <c r="AA206" i="8"/>
  <c r="AA205" i="8"/>
  <c r="Z201" i="8"/>
  <c r="AA516" i="8"/>
  <c r="AA513" i="8"/>
  <c r="AA514" i="8"/>
  <c r="AA511" i="8"/>
  <c r="AA506" i="8"/>
  <c r="AA503" i="8"/>
  <c r="AA509" i="8"/>
  <c r="Z508" i="8"/>
  <c r="Z507" i="8"/>
  <c r="Z505" i="8"/>
  <c r="Z504" i="8"/>
  <c r="Z502" i="8"/>
  <c r="Z501" i="8"/>
  <c r="Z499" i="8"/>
  <c r="Z498" i="8"/>
  <c r="Z497" i="8"/>
  <c r="Z481" i="8" s="1"/>
  <c r="U508" i="8"/>
  <c r="U505" i="8"/>
  <c r="U502" i="8"/>
  <c r="U499" i="8"/>
  <c r="U512" i="8" l="1"/>
  <c r="AA512" i="8" s="1"/>
  <c r="Z166" i="8"/>
  <c r="Z143" i="8" s="1"/>
  <c r="Z145" i="8"/>
  <c r="Z144" i="8"/>
  <c r="Z496" i="8"/>
  <c r="AA532" i="8"/>
  <c r="AA530" i="8"/>
  <c r="AA527" i="8"/>
  <c r="AA529" i="8"/>
  <c r="Z518" i="8"/>
  <c r="Z482" i="8" s="1"/>
  <c r="AA520" i="8"/>
  <c r="AA522" i="8"/>
  <c r="AA524" i="8"/>
  <c r="AA526" i="8"/>
  <c r="Z517" i="8"/>
  <c r="AA540" i="8"/>
  <c r="AA541" i="8"/>
  <c r="AA542" i="8"/>
  <c r="AA539" i="8"/>
  <c r="Z535" i="8"/>
  <c r="Z536" i="8"/>
  <c r="AA138" i="8"/>
  <c r="U496" i="8" l="1"/>
  <c r="Z479" i="8"/>
  <c r="AA134" i="8"/>
  <c r="Z31" i="8"/>
  <c r="AA196" i="8"/>
  <c r="AA189" i="8"/>
  <c r="AA182" i="8"/>
  <c r="Z17" i="8" l="1"/>
  <c r="X484" i="8"/>
  <c r="U483" i="8"/>
  <c r="V483" i="8"/>
  <c r="W483" i="8"/>
  <c r="Y483" i="8"/>
  <c r="U484" i="8"/>
  <c r="V484" i="8"/>
  <c r="W484" i="8"/>
  <c r="Y484" i="8"/>
  <c r="T484" i="8"/>
  <c r="AA484" i="8" l="1"/>
  <c r="T65" i="8" l="1"/>
  <c r="AA65" i="8" s="1"/>
  <c r="U86" i="8" l="1"/>
  <c r="U38" i="8" s="1"/>
  <c r="AA142" i="8"/>
  <c r="AA141" i="8"/>
  <c r="U546" i="8" l="1"/>
  <c r="T105" i="8" l="1"/>
  <c r="AA105" i="8" s="1"/>
  <c r="T45" i="8"/>
  <c r="T146" i="8" l="1"/>
  <c r="T210" i="8" l="1"/>
  <c r="T149" i="8" l="1"/>
  <c r="X132" i="8" l="1"/>
  <c r="T26" i="8"/>
  <c r="T147" i="8" l="1"/>
  <c r="T27" i="8" l="1"/>
  <c r="T208" i="8" l="1"/>
  <c r="AA208" i="8" s="1"/>
  <c r="T103" i="8" l="1"/>
  <c r="AA103" i="8" s="1"/>
  <c r="T203" i="8"/>
  <c r="AA203" i="8" s="1"/>
  <c r="T204" i="8"/>
  <c r="AA204" i="8" s="1"/>
  <c r="T44" i="8"/>
  <c r="T121" i="8"/>
  <c r="AA121" i="8" s="1"/>
  <c r="T118" i="8"/>
  <c r="AA118" i="8" s="1"/>
  <c r="T525" i="8"/>
  <c r="AA525" i="8" s="1"/>
  <c r="T491" i="8"/>
  <c r="AA491" i="8" s="1"/>
  <c r="T160" i="8"/>
  <c r="T116" i="8"/>
  <c r="AA116" i="8" s="1"/>
  <c r="T99" i="8"/>
  <c r="AA99" i="8" s="1"/>
  <c r="T112" i="8"/>
  <c r="AA112" i="8" s="1"/>
  <c r="T95" i="8"/>
  <c r="AA95" i="8" s="1"/>
  <c r="T91" i="8"/>
  <c r="AA91" i="8" s="1"/>
  <c r="T60" i="8"/>
  <c r="AA60" i="8" s="1"/>
  <c r="T489" i="8"/>
  <c r="AA489" i="8" s="1"/>
  <c r="T62" i="8"/>
  <c r="AA62" i="8" s="1"/>
  <c r="T519" i="8"/>
  <c r="AA519" i="8" s="1"/>
  <c r="T485" i="8"/>
  <c r="AA485" i="8" s="1"/>
  <c r="T110" i="8"/>
  <c r="AA110" i="8" s="1"/>
  <c r="T87" i="8"/>
  <c r="AA87" i="8" s="1"/>
  <c r="T69" i="8"/>
  <c r="AA69" i="8" s="1"/>
  <c r="AA106" i="8" l="1"/>
  <c r="T211" i="8" l="1"/>
  <c r="AA211" i="8" s="1"/>
  <c r="AA547" i="8" l="1"/>
  <c r="U30" i="8" l="1"/>
  <c r="V30" i="8"/>
  <c r="W30" i="8"/>
  <c r="X30" i="8"/>
  <c r="Y30" i="8"/>
  <c r="T30" i="8"/>
  <c r="U29" i="8"/>
  <c r="V29" i="8"/>
  <c r="T29" i="8"/>
  <c r="U153" i="8" l="1"/>
  <c r="V153" i="8"/>
  <c r="W153" i="8"/>
  <c r="X153" i="8"/>
  <c r="Y153" i="8"/>
  <c r="T153" i="8"/>
  <c r="AA153" i="8" s="1"/>
  <c r="U464" i="8"/>
  <c r="V464" i="8"/>
  <c r="W464" i="8"/>
  <c r="X464" i="8"/>
  <c r="T464" i="8"/>
  <c r="V466" i="8"/>
  <c r="W466" i="8"/>
  <c r="X466" i="8"/>
  <c r="T466" i="8"/>
  <c r="V465" i="8"/>
  <c r="V151" i="8" s="1"/>
  <c r="W465" i="8"/>
  <c r="W151" i="8" s="1"/>
  <c r="X465" i="8"/>
  <c r="X151" i="8" s="1"/>
  <c r="T465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64" i="8"/>
  <c r="AA465" i="8"/>
  <c r="AA466" i="8"/>
  <c r="AA151" i="8"/>
  <c r="Y86" i="8" l="1"/>
  <c r="Y38" i="8" s="1"/>
  <c r="T86" i="8"/>
  <c r="X86" i="8"/>
  <c r="X38" i="8" s="1"/>
  <c r="W86" i="8"/>
  <c r="W38" i="8" s="1"/>
  <c r="U535" i="8"/>
  <c r="V535" i="8"/>
  <c r="Y535" i="8"/>
  <c r="T535" i="8"/>
  <c r="AA535" i="8" l="1"/>
  <c r="T38" i="8"/>
  <c r="V86" i="8"/>
  <c r="V38" i="8" s="1"/>
  <c r="AA546" i="8"/>
  <c r="T194" i="8"/>
  <c r="T187" i="8"/>
  <c r="T180" i="8"/>
  <c r="T173" i="8"/>
  <c r="AA173" i="8" s="1"/>
  <c r="U83" i="8"/>
  <c r="AA38" i="8" l="1"/>
  <c r="AA194" i="8"/>
  <c r="AA86" i="8"/>
  <c r="AA180" i="8"/>
  <c r="AA187" i="8"/>
  <c r="AA161" i="8"/>
  <c r="AA159" i="8"/>
  <c r="AA157" i="8"/>
  <c r="AA155" i="8"/>
  <c r="T169" i="8"/>
  <c r="T111" i="8"/>
  <c r="T58" i="8"/>
  <c r="AA58" i="8" s="1"/>
  <c r="AA160" i="8"/>
  <c r="T521" i="8"/>
  <c r="AA521" i="8" s="1"/>
  <c r="T523" i="8"/>
  <c r="AA523" i="8" s="1"/>
  <c r="T487" i="8"/>
  <c r="AA487" i="8" s="1"/>
  <c r="T461" i="8"/>
  <c r="AA461" i="8" s="1"/>
  <c r="T114" i="8"/>
  <c r="AA114" i="8" s="1"/>
  <c r="AA71" i="8"/>
  <c r="AA44" i="8"/>
  <c r="T132" i="8"/>
  <c r="T156" i="8"/>
  <c r="AA156" i="8" s="1"/>
  <c r="W210" i="8"/>
  <c r="X210" i="8"/>
  <c r="Y210" i="8"/>
  <c r="AA543" i="8"/>
  <c r="Y536" i="8"/>
  <c r="X536" i="8"/>
  <c r="W536" i="8"/>
  <c r="V536" i="8"/>
  <c r="U536" i="8"/>
  <c r="T536" i="8"/>
  <c r="AA536" i="8"/>
  <c r="AA531" i="8"/>
  <c r="Y518" i="8"/>
  <c r="Y482" i="8" s="1"/>
  <c r="X518" i="8"/>
  <c r="X482" i="8" s="1"/>
  <c r="W518" i="8"/>
  <c r="W482" i="8" s="1"/>
  <c r="V518" i="8"/>
  <c r="V482" i="8" s="1"/>
  <c r="U518" i="8"/>
  <c r="U482" i="8" s="1"/>
  <c r="Y517" i="8"/>
  <c r="X517" i="8"/>
  <c r="W517" i="8"/>
  <c r="V517" i="8"/>
  <c r="U517" i="8"/>
  <c r="U479" i="8" s="1"/>
  <c r="AA510" i="8"/>
  <c r="Y508" i="8"/>
  <c r="T508" i="8"/>
  <c r="Y507" i="8"/>
  <c r="W507" i="8"/>
  <c r="V507" i="8"/>
  <c r="U507" i="8"/>
  <c r="T507" i="8"/>
  <c r="Y505" i="8"/>
  <c r="T505" i="8"/>
  <c r="Y504" i="8"/>
  <c r="W504" i="8"/>
  <c r="V504" i="8"/>
  <c r="U504" i="8"/>
  <c r="T504" i="8"/>
  <c r="Y502" i="8"/>
  <c r="T502" i="8"/>
  <c r="Y501" i="8"/>
  <c r="W501" i="8"/>
  <c r="V501" i="8"/>
  <c r="U501" i="8"/>
  <c r="T501" i="8"/>
  <c r="Y499" i="8"/>
  <c r="T499" i="8"/>
  <c r="Y498" i="8"/>
  <c r="X498" i="8"/>
  <c r="W498" i="8"/>
  <c r="V498" i="8"/>
  <c r="U498" i="8"/>
  <c r="T498" i="8"/>
  <c r="Y497" i="8"/>
  <c r="Y481" i="8" s="1"/>
  <c r="X497" i="8"/>
  <c r="X481" i="8" s="1"/>
  <c r="W497" i="8"/>
  <c r="W481" i="8" s="1"/>
  <c r="V497" i="8"/>
  <c r="V481" i="8" s="1"/>
  <c r="U481" i="8"/>
  <c r="T497" i="8"/>
  <c r="Y480" i="8"/>
  <c r="X480" i="8"/>
  <c r="W480" i="8"/>
  <c r="V480" i="8"/>
  <c r="U480" i="8"/>
  <c r="AA460" i="8"/>
  <c r="AA459" i="8"/>
  <c r="AA458" i="8"/>
  <c r="AA457" i="8"/>
  <c r="AA456" i="8"/>
  <c r="T455" i="8"/>
  <c r="AA455" i="8" s="1"/>
  <c r="AA454" i="8"/>
  <c r="AA453" i="8"/>
  <c r="AA452" i="8"/>
  <c r="AA451" i="8"/>
  <c r="AA450" i="8"/>
  <c r="T449" i="8"/>
  <c r="AA449" i="8" s="1"/>
  <c r="AA448" i="8"/>
  <c r="AA447" i="8"/>
  <c r="AA446" i="8"/>
  <c r="AA445" i="8"/>
  <c r="AA444" i="8"/>
  <c r="T443" i="8"/>
  <c r="AA443" i="8" s="1"/>
  <c r="AA442" i="8"/>
  <c r="AA441" i="8"/>
  <c r="AA440" i="8"/>
  <c r="AA439" i="8"/>
  <c r="AA438" i="8"/>
  <c r="T437" i="8"/>
  <c r="AA437" i="8" s="1"/>
  <c r="AA436" i="8"/>
  <c r="AA435" i="8"/>
  <c r="AA434" i="8"/>
  <c r="AA433" i="8"/>
  <c r="AA432" i="8"/>
  <c r="T431" i="8"/>
  <c r="AA431" i="8" s="1"/>
  <c r="AA430" i="8"/>
  <c r="AA429" i="8"/>
  <c r="AA428" i="8"/>
  <c r="AA427" i="8"/>
  <c r="T426" i="8"/>
  <c r="AA426" i="8" s="1"/>
  <c r="AA425" i="8"/>
  <c r="AA424" i="8"/>
  <c r="AA423" i="8"/>
  <c r="AA422" i="8"/>
  <c r="AA421" i="8"/>
  <c r="T420" i="8"/>
  <c r="AA420" i="8" s="1"/>
  <c r="AA419" i="8"/>
  <c r="AA418" i="8"/>
  <c r="AA417" i="8"/>
  <c r="AA416" i="8"/>
  <c r="AA415" i="8"/>
  <c r="T414" i="8"/>
  <c r="AA414" i="8" s="1"/>
  <c r="AA413" i="8"/>
  <c r="AA412" i="8"/>
  <c r="AA411" i="8"/>
  <c r="AA410" i="8"/>
  <c r="AA409" i="8"/>
  <c r="T408" i="8"/>
  <c r="AA408" i="8" s="1"/>
  <c r="AA407" i="8"/>
  <c r="AA406" i="8"/>
  <c r="AA405" i="8"/>
  <c r="AA404" i="8"/>
  <c r="AA403" i="8"/>
  <c r="T402" i="8"/>
  <c r="AA402" i="8" s="1"/>
  <c r="AA401" i="8"/>
  <c r="AA400" i="8"/>
  <c r="AA399" i="8"/>
  <c r="AA398" i="8"/>
  <c r="AA397" i="8"/>
  <c r="T396" i="8"/>
  <c r="AA396" i="8" s="1"/>
  <c r="AA395" i="8"/>
  <c r="AA394" i="8"/>
  <c r="AA393" i="8"/>
  <c r="AA390" i="8"/>
  <c r="T389" i="8"/>
  <c r="AA389" i="8" s="1"/>
  <c r="T388" i="8"/>
  <c r="AA388" i="8" s="1"/>
  <c r="AA386" i="8"/>
  <c r="AA385" i="8"/>
  <c r="AA384" i="8"/>
  <c r="AA383" i="8"/>
  <c r="AA382" i="8"/>
  <c r="AA381" i="8"/>
  <c r="T380" i="8"/>
  <c r="AA380" i="8" s="1"/>
  <c r="AA379" i="8"/>
  <c r="AA378" i="8"/>
  <c r="AA377" i="8"/>
  <c r="AA376" i="8"/>
  <c r="AA375" i="8"/>
  <c r="T374" i="8"/>
  <c r="AA374" i="8" s="1"/>
  <c r="AA373" i="8"/>
  <c r="AA372" i="8"/>
  <c r="AA371" i="8"/>
  <c r="AA370" i="8"/>
  <c r="AA369" i="8"/>
  <c r="T368" i="8"/>
  <c r="AA368" i="8" s="1"/>
  <c r="AA367" i="8"/>
  <c r="AA366" i="8"/>
  <c r="AA365" i="8"/>
  <c r="AA364" i="8"/>
  <c r="AA363" i="8"/>
  <c r="AA362" i="8"/>
  <c r="T361" i="8"/>
  <c r="AA361" i="8" s="1"/>
  <c r="AA360" i="8"/>
  <c r="AA359" i="8"/>
  <c r="AA358" i="8"/>
  <c r="AA357" i="8"/>
  <c r="AA356" i="8"/>
  <c r="AA355" i="8"/>
  <c r="T354" i="8"/>
  <c r="AA354" i="8" s="1"/>
  <c r="AA353" i="8"/>
  <c r="AA352" i="8"/>
  <c r="AA351" i="8"/>
  <c r="AA350" i="8"/>
  <c r="AA349" i="8"/>
  <c r="AA348" i="8"/>
  <c r="T347" i="8"/>
  <c r="AA347" i="8" s="1"/>
  <c r="AA346" i="8"/>
  <c r="AA345" i="8"/>
  <c r="AA344" i="8"/>
  <c r="AA343" i="8"/>
  <c r="AA342" i="8"/>
  <c r="AA341" i="8"/>
  <c r="T340" i="8"/>
  <c r="AA340" i="8" s="1"/>
  <c r="AA339" i="8"/>
  <c r="AA338" i="8"/>
  <c r="AA337" i="8"/>
  <c r="AA336" i="8"/>
  <c r="AA335" i="8"/>
  <c r="AA334" i="8"/>
  <c r="T333" i="8"/>
  <c r="AA333" i="8" s="1"/>
  <c r="AA332" i="8"/>
  <c r="AA331" i="8"/>
  <c r="AA330" i="8"/>
  <c r="AA329" i="8"/>
  <c r="AA328" i="8"/>
  <c r="AA327" i="8"/>
  <c r="T326" i="8"/>
  <c r="AA326" i="8" s="1"/>
  <c r="AA325" i="8"/>
  <c r="AA324" i="8"/>
  <c r="AA323" i="8"/>
  <c r="AA322" i="8"/>
  <c r="AA321" i="8"/>
  <c r="AA320" i="8"/>
  <c r="T319" i="8"/>
  <c r="AA319" i="8" s="1"/>
  <c r="AA318" i="8"/>
  <c r="AA317" i="8"/>
  <c r="AA316" i="8"/>
  <c r="AA315" i="8"/>
  <c r="AA314" i="8"/>
  <c r="AA313" i="8"/>
  <c r="T312" i="8"/>
  <c r="AA312" i="8" s="1"/>
  <c r="AA311" i="8"/>
  <c r="AA310" i="8"/>
  <c r="AA309" i="8"/>
  <c r="AA308" i="8"/>
  <c r="AA307" i="8"/>
  <c r="T306" i="8"/>
  <c r="AA306" i="8" s="1"/>
  <c r="AA305" i="8"/>
  <c r="AA304" i="8"/>
  <c r="AA300" i="8"/>
  <c r="T299" i="8"/>
  <c r="AA299" i="8" s="1"/>
  <c r="AA298" i="8"/>
  <c r="T297" i="8"/>
  <c r="AA295" i="8"/>
  <c r="AA294" i="8"/>
  <c r="AA293" i="8"/>
  <c r="AA292" i="8"/>
  <c r="T291" i="8"/>
  <c r="AA291" i="8" s="1"/>
  <c r="AA290" i="8"/>
  <c r="AA289" i="8"/>
  <c r="AA288" i="8"/>
  <c r="AA287" i="8"/>
  <c r="T286" i="8"/>
  <c r="AA286" i="8" s="1"/>
  <c r="AA285" i="8"/>
  <c r="AA284" i="8"/>
  <c r="AA283" i="8"/>
  <c r="AA282" i="8"/>
  <c r="T281" i="8"/>
  <c r="AA280" i="8"/>
  <c r="AA279" i="8"/>
  <c r="AA278" i="8"/>
  <c r="AA277" i="8"/>
  <c r="T276" i="8"/>
  <c r="AA276" i="8" s="1"/>
  <c r="AA275" i="8"/>
  <c r="AA274" i="8"/>
  <c r="AA273" i="8"/>
  <c r="AA272" i="8"/>
  <c r="T271" i="8"/>
  <c r="AA271" i="8" s="1"/>
  <c r="AA270" i="8"/>
  <c r="AA269" i="8"/>
  <c r="AA268" i="8"/>
  <c r="AA267" i="8"/>
  <c r="AA266" i="8"/>
  <c r="T265" i="8"/>
  <c r="AA265" i="8" s="1"/>
  <c r="AA264" i="8"/>
  <c r="AA263" i="8"/>
  <c r="AA260" i="8"/>
  <c r="T259" i="8"/>
  <c r="AA259" i="8" s="1"/>
  <c r="AA258" i="8"/>
  <c r="T257" i="8"/>
  <c r="AA255" i="8"/>
  <c r="AA254" i="8"/>
  <c r="AA253" i="8"/>
  <c r="AA252" i="8"/>
  <c r="AA251" i="8"/>
  <c r="T250" i="8"/>
  <c r="AA250" i="8" s="1"/>
  <c r="AA249" i="8"/>
  <c r="AA248" i="8"/>
  <c r="AA247" i="8"/>
  <c r="AA246" i="8"/>
  <c r="AA245" i="8"/>
  <c r="AA244" i="8"/>
  <c r="T243" i="8"/>
  <c r="AA243" i="8" s="1"/>
  <c r="AA242" i="8"/>
  <c r="AA241" i="8"/>
  <c r="AA240" i="8"/>
  <c r="AA239" i="8"/>
  <c r="AA238" i="8"/>
  <c r="T237" i="8"/>
  <c r="AA237" i="8" s="1"/>
  <c r="AA236" i="8"/>
  <c r="AA235" i="8"/>
  <c r="AA234" i="8"/>
  <c r="AA233" i="8"/>
  <c r="AA232" i="8"/>
  <c r="T231" i="8"/>
  <c r="AA231" i="8" s="1"/>
  <c r="AA230" i="8"/>
  <c r="AA229" i="8"/>
  <c r="AA228" i="8"/>
  <c r="AA227" i="8"/>
  <c r="T226" i="8"/>
  <c r="AA226" i="8" s="1"/>
  <c r="AA225" i="8"/>
  <c r="AD224" i="8"/>
  <c r="AA224" i="8"/>
  <c r="AD223" i="8"/>
  <c r="AA223" i="8"/>
  <c r="AD222" i="8"/>
  <c r="AA222" i="8"/>
  <c r="AD221" i="8"/>
  <c r="T221" i="8"/>
  <c r="AA221" i="8" s="1"/>
  <c r="AA220" i="8"/>
  <c r="AA219" i="8"/>
  <c r="AA218" i="8"/>
  <c r="T215" i="8"/>
  <c r="AA215" i="8" s="1"/>
  <c r="T213" i="8"/>
  <c r="Y201" i="8"/>
  <c r="Y166" i="8" s="1"/>
  <c r="X201" i="8"/>
  <c r="X166" i="8" s="1"/>
  <c r="W201" i="8"/>
  <c r="W166" i="8" s="1"/>
  <c r="V201" i="8"/>
  <c r="V166" i="8" s="1"/>
  <c r="U201" i="8"/>
  <c r="Y144" i="8"/>
  <c r="X144" i="8"/>
  <c r="W144" i="8"/>
  <c r="V144" i="8"/>
  <c r="T171" i="8"/>
  <c r="T170" i="8"/>
  <c r="Y168" i="8"/>
  <c r="X168" i="8"/>
  <c r="W168" i="8"/>
  <c r="V168" i="8"/>
  <c r="U168" i="8"/>
  <c r="Y167" i="8"/>
  <c r="X167" i="8"/>
  <c r="W167" i="8"/>
  <c r="V167" i="8"/>
  <c r="U167" i="8"/>
  <c r="AA158" i="8"/>
  <c r="AA154" i="8"/>
  <c r="Y152" i="8"/>
  <c r="X152" i="8"/>
  <c r="W152" i="8"/>
  <c r="V152" i="8"/>
  <c r="U152" i="8"/>
  <c r="Y132" i="8"/>
  <c r="W132" i="8"/>
  <c r="V132" i="8"/>
  <c r="T129" i="8"/>
  <c r="AA129" i="8" s="1"/>
  <c r="Y109" i="8"/>
  <c r="X109" i="8"/>
  <c r="W109" i="8"/>
  <c r="V109" i="8"/>
  <c r="U109" i="8"/>
  <c r="Y108" i="8"/>
  <c r="X108" i="8"/>
  <c r="W108" i="8"/>
  <c r="V108" i="8"/>
  <c r="U108" i="8"/>
  <c r="Y85" i="8"/>
  <c r="X85" i="8"/>
  <c r="W85" i="8"/>
  <c r="V85" i="8"/>
  <c r="U85" i="8"/>
  <c r="T85" i="8"/>
  <c r="Y84" i="8"/>
  <c r="X84" i="8"/>
  <c r="W84" i="8"/>
  <c r="V84" i="8"/>
  <c r="U84" i="8"/>
  <c r="T84" i="8"/>
  <c r="Y83" i="8"/>
  <c r="X83" i="8"/>
  <c r="W83" i="8"/>
  <c r="V83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V31" i="8" s="1"/>
  <c r="U41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W143" i="8" l="1"/>
  <c r="U31" i="8"/>
  <c r="T212" i="8"/>
  <c r="AA212" i="8" s="1"/>
  <c r="T256" i="8"/>
  <c r="AA256" i="8" s="1"/>
  <c r="AA35" i="8"/>
  <c r="AA517" i="8"/>
  <c r="AA499" i="8"/>
  <c r="AA169" i="8"/>
  <c r="AA30" i="8"/>
  <c r="AA84" i="8"/>
  <c r="W145" i="8"/>
  <c r="T144" i="8"/>
  <c r="AA144" i="8" s="1"/>
  <c r="AA171" i="8"/>
  <c r="AA502" i="8"/>
  <c r="AA132" i="8"/>
  <c r="AA505" i="8"/>
  <c r="U166" i="8"/>
  <c r="U143" i="8" s="1"/>
  <c r="AA508" i="8"/>
  <c r="AA210" i="8"/>
  <c r="T109" i="8"/>
  <c r="AA109" i="8" s="1"/>
  <c r="AA111" i="8"/>
  <c r="T483" i="8"/>
  <c r="AA483" i="8" s="1"/>
  <c r="T481" i="8"/>
  <c r="AA481" i="8" s="1"/>
  <c r="AA497" i="8"/>
  <c r="U145" i="8"/>
  <c r="W31" i="8"/>
  <c r="X31" i="8"/>
  <c r="Y31" i="8"/>
  <c r="AA257" i="8"/>
  <c r="AA297" i="8"/>
  <c r="T296" i="8"/>
  <c r="AA296" i="8" s="1"/>
  <c r="Y143" i="8"/>
  <c r="AA213" i="8"/>
  <c r="V145" i="8"/>
  <c r="T145" i="8"/>
  <c r="V143" i="8"/>
  <c r="X145" i="8"/>
  <c r="Y145" i="8"/>
  <c r="X143" i="8"/>
  <c r="T518" i="8"/>
  <c r="AA518" i="8" s="1"/>
  <c r="T495" i="8"/>
  <c r="X479" i="8"/>
  <c r="AA501" i="8"/>
  <c r="AA507" i="8"/>
  <c r="V495" i="8"/>
  <c r="Y495" i="8"/>
  <c r="AA498" i="8"/>
  <c r="AA504" i="8"/>
  <c r="X495" i="8"/>
  <c r="T517" i="8"/>
  <c r="W495" i="8"/>
  <c r="T67" i="8"/>
  <c r="AA67" i="8" s="1"/>
  <c r="T496" i="8"/>
  <c r="AA50" i="8"/>
  <c r="U495" i="8"/>
  <c r="T168" i="8"/>
  <c r="AA168" i="8" s="1"/>
  <c r="T108" i="8"/>
  <c r="AA108" i="8" s="1"/>
  <c r="AD225" i="8"/>
  <c r="AA281" i="8"/>
  <c r="T387" i="8"/>
  <c r="AA387" i="8" s="1"/>
  <c r="V496" i="8"/>
  <c r="V479" i="8" s="1"/>
  <c r="T152" i="8"/>
  <c r="AA152" i="8" s="1"/>
  <c r="T167" i="8"/>
  <c r="AA167" i="8" s="1"/>
  <c r="Y496" i="8"/>
  <c r="Y479" i="8" s="1"/>
  <c r="W496" i="8"/>
  <c r="W479" i="8" s="1"/>
  <c r="T83" i="8"/>
  <c r="AA83" i="8" s="1"/>
  <c r="T201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V146" i="8" l="1"/>
  <c r="Z146" i="8"/>
  <c r="AA146" i="8" s="1"/>
  <c r="W146" i="8"/>
  <c r="V17" i="8"/>
  <c r="U146" i="8"/>
  <c r="Y146" i="8"/>
  <c r="X146" i="8"/>
  <c r="AA145" i="8"/>
  <c r="U17" i="8"/>
  <c r="X17" i="8"/>
  <c r="Y17" i="8"/>
  <c r="W17" i="8"/>
  <c r="AA496" i="8"/>
  <c r="T166" i="8"/>
  <c r="AA166" i="8" s="1"/>
  <c r="AA201" i="8"/>
  <c r="T31" i="8"/>
  <c r="T482" i="8"/>
  <c r="AA482" i="8" s="1"/>
  <c r="T209" i="8"/>
  <c r="AA209" i="8" s="1"/>
  <c r="AA495" i="8"/>
  <c r="T479" i="8"/>
  <c r="AA479" i="8" s="1"/>
  <c r="T480" i="8"/>
  <c r="AA480" i="8" s="1"/>
  <c r="AA41" i="8"/>
  <c r="AA20" i="8"/>
  <c r="AA23" i="8"/>
  <c r="AA18" i="8"/>
  <c r="AA31" i="8" l="1"/>
  <c r="T143" i="8"/>
  <c r="AA143" i="8" s="1"/>
  <c r="T17" i="8" l="1"/>
  <c r="AA17" i="8" s="1"/>
</calcChain>
</file>

<file path=xl/sharedStrings.xml><?xml version="1.0" encoding="utf-8"?>
<sst xmlns="http://schemas.openxmlformats.org/spreadsheetml/2006/main" count="5386" uniqueCount="348">
  <si>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</si>
  <si>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</si>
  <si>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</si>
  <si>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</si>
  <si>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</si>
  <si>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</si>
  <si>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</si>
  <si>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</si>
  <si>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</si>
  <si>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</si>
  <si>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</si>
  <si>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</si>
  <si>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</si>
  <si>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</si>
  <si>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</si>
  <si>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</si>
  <si>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</si>
  <si>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</si>
  <si>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</si>
  <si>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</si>
  <si>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</si>
  <si>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</si>
  <si>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</si>
  <si>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</si>
  <si>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</si>
  <si>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</si>
  <si>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</si>
  <si>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</si>
  <si>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</si>
  <si>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</si>
  <si>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</si>
  <si>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</si>
  <si>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</si>
  <si>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</si>
  <si>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</si>
  <si>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</si>
  <si>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</si>
  <si>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</si>
  <si>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</si>
  <si>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</si>
  <si>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</si>
  <si>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</si>
  <si>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</si>
  <si>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</si>
  <si>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</si>
  <si>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</si>
  <si>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</si>
  <si>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</si>
  <si>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</si>
  <si>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</si>
  <si>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</si>
  <si>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</si>
  <si>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</si>
  <si>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</si>
  <si>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</si>
  <si>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</si>
  <si>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</si>
  <si>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</si>
  <si>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</si>
  <si>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</si>
  <si>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</si>
  <si>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</si>
  <si>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</si>
  <si>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</si>
  <si>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</si>
  <si>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</si>
  <si>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</si>
  <si>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</si>
  <si>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</si>
  <si>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</si>
  <si>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</si>
  <si>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</si>
  <si>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</si>
  <si>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</si>
  <si>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</si>
  <si>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</si>
  <si>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</si>
  <si>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</si>
  <si>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</si>
  <si>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</si>
  <si>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</si>
  <si>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</si>
  <si>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</si>
  <si>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</si>
  <si>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</si>
  <si>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</si>
  <si>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</si>
  <si>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</si>
  <si>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</si>
  <si>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</si>
  <si>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</si>
  <si>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</si>
  <si>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</si>
  <si>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</si>
  <si>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</si>
  <si>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</si>
  <si>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</si>
  <si>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</si>
  <si>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</si>
  <si>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</si>
  <si>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</si>
  <si>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</si>
  <si>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</si>
  <si>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</si>
  <si>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</si>
  <si>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</si>
  <si>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</si>
  <si>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</si>
  <si>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</si>
  <si>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</si>
  <si>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</si>
  <si>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</si>
  <si>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</si>
  <si>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</si>
  <si>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</si>
  <si>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</si>
  <si>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</si>
  <si>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</si>
  <si>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</si>
  <si>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</si>
  <si>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</si>
  <si>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</si>
  <si>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</si>
  <si>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</si>
  <si>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</si>
  <si>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</si>
  <si>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</si>
  <si>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</si>
  <si>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</si>
  <si>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</si>
  <si>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</si>
  <si>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</si>
  <si>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</si>
  <si>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</si>
  <si>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</si>
  <si>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</si>
  <si>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</si>
  <si>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</si>
  <si>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</si>
  <si>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</si>
  <si>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</si>
  <si>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</si>
  <si>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</si>
  <si>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</si>
  <si>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</si>
  <si>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</si>
  <si>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</si>
  <si>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</si>
  <si>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</si>
  <si>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</si>
  <si>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</si>
  <si>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</si>
  <si>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</si>
  <si>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</si>
  <si>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</si>
  <si>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</si>
  <si>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</si>
  <si>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</si>
  <si>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</si>
  <si>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</si>
  <si>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</si>
  <si>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</si>
  <si>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</si>
  <si>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</si>
  <si>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</si>
  <si>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</si>
  <si>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</si>
  <si>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</si>
  <si>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</si>
  <si>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</si>
  <si>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</si>
  <si>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</si>
  <si>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</si>
  <si>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</si>
  <si>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</si>
  <si>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</si>
  <si>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</si>
  <si>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</si>
  <si>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</si>
  <si>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</si>
  <si>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</si>
  <si>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</si>
  <si>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</si>
  <si>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</si>
  <si>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</si>
  <si>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</si>
  <si>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</si>
  <si>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</si>
  <si>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</si>
  <si>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</si>
  <si>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</si>
  <si>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</si>
  <si>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</si>
  <si>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</si>
  <si>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</si>
  <si>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</si>
  <si>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</si>
  <si>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</si>
  <si>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</si>
  <si>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</si>
  <si>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</si>
  <si>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</si>
  <si>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</si>
  <si>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</si>
  <si>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</si>
  <si>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</si>
  <si>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</si>
  <si>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</si>
  <si>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</si>
  <si>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</si>
  <si>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</si>
  <si>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</si>
  <si>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</si>
  <si>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</si>
  <si>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</si>
  <si>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</si>
  <si>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</si>
  <si>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</si>
  <si>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</si>
  <si>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</si>
  <si>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</si>
  <si>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</si>
  <si>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</si>
  <si>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</si>
  <si>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</si>
  <si>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</si>
  <si>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</si>
  <si>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</si>
  <si>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</si>
  <si>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</si>
  <si>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</si>
  <si>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</si>
  <si>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</si>
  <si>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</si>
  <si>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</si>
  <si>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</si>
  <si>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</si>
  <si>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</si>
  <si>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</si>
  <si>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</si>
  <si>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</si>
  <si>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</si>
  <si>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</si>
  <si>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</si>
  <si>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</si>
  <si>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</si>
  <si>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</si>
  <si>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</si>
  <si>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</si>
  <si>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</si>
  <si>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</si>
  <si>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</si>
  <si>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</si>
  <si>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</si>
  <si>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</si>
  <si>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</si>
  <si>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</si>
  <si>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</si>
  <si>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</si>
  <si>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</si>
  <si>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</si>
  <si>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</si>
  <si>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</si>
  <si>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</si>
  <si>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</si>
  <si>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</si>
  <si>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</si>
  <si>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</si>
  <si>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</si>
  <si>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</si>
  <si>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</si>
  <si>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</si>
  <si>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</si>
  <si>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</si>
  <si>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</si>
  <si>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</si>
  <si>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</si>
  <si>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</si>
  <si>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</si>
  <si>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</si>
  <si>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</si>
  <si>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</si>
  <si>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</si>
  <si>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</si>
  <si>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</si>
  <si>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</si>
  <si>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</si>
  <si>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</si>
  <si>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</si>
  <si>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</si>
  <si>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</si>
  <si>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</si>
  <si>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</si>
  <si>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</si>
  <si>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</si>
  <si>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</si>
  <si>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</si>
  <si>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</si>
  <si>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</si>
  <si>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</si>
  <si>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</si>
  <si>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</si>
  <si>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</si>
  <si>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</si>
  <si>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</si>
  <si>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</si>
  <si>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</si>
  <si>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</si>
  <si>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</si>
  <si>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</si>
  <si>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</si>
  <si>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</si>
  <si>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</si>
  <si>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</si>
  <si>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</si>
  <si>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</si>
  <si>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</si>
  <si>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</si>
  <si>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</si>
  <si>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</si>
  <si>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</si>
  <si>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</si>
  <si>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</si>
  <si>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</si>
  <si>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</si>
  <si>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</si>
  <si>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</si>
  <si>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</si>
  <si>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</si>
  <si>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</si>
  <si>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</si>
  <si>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</si>
  <si>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</si>
  <si>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</si>
  <si>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t xml:space="preserve">Мероприятие 4.03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</si>
  <si>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</si>
  <si>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</si>
  <si>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</si>
  <si>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</si>
  <si>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</si>
  <si>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</si>
  <si>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</si>
  <si>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</si>
  <si>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</si>
  <si>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</si>
  <si>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В.А. Клишин</t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</si>
  <si>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</si>
  <si>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t>Приложение 1
к постановлению Администрации города Твери
от «16» июля 2020 № 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</si>
</sst>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0"/>
  <sheetViews>
    <sheetView tabSelected="1" view="pageBreakPreview" topLeftCell="A3" zoomScale="80" zoomScaleNormal="90" zoomScaleSheetLayoutView="80" zoomScalePageLayoutView="62" workbookViewId="0">
      <selection activeCell="A3" sqref="A3:AB3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1.7109375" style="8" customWidth="1"/>
    <col min="28" max="28" width="6.7109375" style="7" customWidth="1"/>
    <col min="29" max="29" width="12.85546875" style="106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4" ht="46.9" hidden="1" customHeight="1" x14ac:dyDescent="0.25">
      <c r="A1" s="164" t="s">
        <v>307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25"/>
      <c r="AD1" s="105"/>
      <c r="AE1" s="105"/>
      <c r="AF1" s="105"/>
    </row>
    <row r="2" spans="1:34" hidden="1" x14ac:dyDescent="0.25"/>
    <row r="3" spans="1:34" ht="46.9" customHeight="1" x14ac:dyDescent="0.25">
      <c r="A3" s="164" t="s">
        <v>347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05"/>
      <c r="AD3" s="105"/>
      <c r="AE3" s="105"/>
    </row>
    <row r="4" spans="1:34" ht="12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05"/>
      <c r="AD4" s="105"/>
      <c r="AE4" s="105"/>
    </row>
    <row r="5" spans="1:34" x14ac:dyDescent="0.25">
      <c r="A5" s="164" t="s">
        <v>330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05"/>
      <c r="AD5" s="105"/>
      <c r="AE5" s="105"/>
    </row>
    <row r="6" spans="1:34" ht="15.6" customHeight="1" x14ac:dyDescent="0.25">
      <c r="A6" s="164" t="s">
        <v>26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9"/>
    </row>
    <row r="7" spans="1:34" ht="15.6" customHeight="1" x14ac:dyDescent="0.25">
      <c r="A7" s="164" t="s">
        <v>48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9"/>
    </row>
    <row r="8" spans="1:34" ht="15.6" customHeight="1" x14ac:dyDescent="0.25">
      <c r="A8" s="164" t="s">
        <v>296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34" ht="7.1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48"/>
      <c r="V9" s="11"/>
      <c r="W9" s="148"/>
      <c r="X9" s="158"/>
      <c r="Y9" s="158"/>
      <c r="Z9" s="158"/>
      <c r="AA9" s="158"/>
      <c r="AB9" s="158"/>
    </row>
    <row r="10" spans="1:34" ht="18.75" customHeight="1" x14ac:dyDescent="0.25">
      <c r="A10" s="159" t="s">
        <v>12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9"/>
      <c r="AD10" s="12"/>
    </row>
    <row r="11" spans="1:34" ht="18" customHeight="1" x14ac:dyDescent="0.25">
      <c r="A11" s="159" t="s">
        <v>295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</row>
    <row r="12" spans="1:34" ht="18" customHeight="1" x14ac:dyDescent="0.25">
      <c r="A12" s="160" t="s">
        <v>57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</row>
    <row r="13" spans="1:34" ht="9" customHeight="1" x14ac:dyDescent="0.25">
      <c r="V13" s="13"/>
    </row>
    <row r="14" spans="1:34" s="100" customFormat="1" ht="51.6" customHeight="1" x14ac:dyDescent="0.25">
      <c r="A14" s="161" t="s">
        <v>16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2" t="s">
        <v>13</v>
      </c>
      <c r="S14" s="162" t="s">
        <v>33</v>
      </c>
      <c r="T14" s="162" t="s">
        <v>14</v>
      </c>
      <c r="U14" s="162"/>
      <c r="V14" s="162"/>
      <c r="W14" s="162"/>
      <c r="X14" s="162"/>
      <c r="Y14" s="162"/>
      <c r="Z14" s="162"/>
      <c r="AA14" s="163" t="s">
        <v>10</v>
      </c>
      <c r="AB14" s="163"/>
      <c r="AC14" s="9"/>
      <c r="AD14" s="9"/>
      <c r="AE14" s="9"/>
      <c r="AF14" s="9"/>
      <c r="AG14" s="9"/>
      <c r="AH14" s="9"/>
    </row>
    <row r="15" spans="1:34" s="100" customFormat="1" ht="53.45" customHeight="1" x14ac:dyDescent="0.25">
      <c r="A15" s="161" t="s">
        <v>29</v>
      </c>
      <c r="B15" s="161"/>
      <c r="C15" s="161"/>
      <c r="D15" s="161" t="s">
        <v>27</v>
      </c>
      <c r="E15" s="161"/>
      <c r="F15" s="161" t="s">
        <v>28</v>
      </c>
      <c r="G15" s="161"/>
      <c r="H15" s="161" t="s">
        <v>17</v>
      </c>
      <c r="I15" s="161"/>
      <c r="J15" s="161"/>
      <c r="K15" s="161"/>
      <c r="L15" s="161"/>
      <c r="M15" s="161"/>
      <c r="N15" s="161"/>
      <c r="O15" s="161"/>
      <c r="P15" s="161"/>
      <c r="Q15" s="161"/>
      <c r="R15" s="162"/>
      <c r="S15" s="162"/>
      <c r="T15" s="146">
        <v>2018</v>
      </c>
      <c r="U15" s="146">
        <v>2019</v>
      </c>
      <c r="V15" s="146">
        <v>2020</v>
      </c>
      <c r="W15" s="146">
        <v>2021</v>
      </c>
      <c r="X15" s="146">
        <v>2022</v>
      </c>
      <c r="Y15" s="146">
        <v>2023</v>
      </c>
      <c r="Z15" s="146">
        <v>2024</v>
      </c>
      <c r="AA15" s="146" t="s">
        <v>11</v>
      </c>
      <c r="AB15" s="146" t="s">
        <v>30</v>
      </c>
      <c r="AC15" s="14"/>
      <c r="AD15" s="15"/>
      <c r="AE15" s="15"/>
      <c r="AF15" s="16"/>
      <c r="AG15" s="16"/>
      <c r="AH15" s="16"/>
    </row>
    <row r="16" spans="1:34" s="100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4.6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15</v>
      </c>
      <c r="S17" s="23" t="s">
        <v>0</v>
      </c>
      <c r="T17" s="24">
        <f t="shared" ref="T17:Z17" si="0">T31+T143+T479+T535</f>
        <v>505632.41500000004</v>
      </c>
      <c r="U17" s="24">
        <f t="shared" si="0"/>
        <v>641164.1</v>
      </c>
      <c r="V17" s="24">
        <f t="shared" si="0"/>
        <v>463102.7</v>
      </c>
      <c r="W17" s="24">
        <f t="shared" si="0"/>
        <v>270971.40000000002</v>
      </c>
      <c r="X17" s="24">
        <f t="shared" si="0"/>
        <v>270971.40000000002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2691064.8149999999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149999999999999" hidden="1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149999999999999" hidden="1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31.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59</v>
      </c>
      <c r="S25" s="17"/>
      <c r="T25" s="36"/>
      <c r="U25" s="36"/>
      <c r="V25" s="36"/>
      <c r="W25" s="36"/>
      <c r="X25" s="36"/>
      <c r="Y25" s="36"/>
      <c r="Z25" s="36"/>
      <c r="AA25" s="36"/>
      <c r="AB25" s="147"/>
      <c r="AC25" s="96"/>
      <c r="AD25" s="38"/>
      <c r="AE25" s="38"/>
    </row>
    <row r="26" spans="1:36" ht="47.2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 t="s">
        <v>60</v>
      </c>
      <c r="S26" s="41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(416.9+89.6+58.4+33.1)/2557*100</f>
        <v>23.386781384434883</v>
      </c>
      <c r="W26" s="3">
        <f xml:space="preserve"> (416.9+89.6+58.4+33.1+64.3)/2557*100</f>
        <v>25.901447008212745</v>
      </c>
      <c r="X26" s="3">
        <f xml:space="preserve"> (416.9+89.6+58.4+33.1+64.3+64.3)/2557*100</f>
        <v>28.416112631990607</v>
      </c>
      <c r="Y26" s="3">
        <f xml:space="preserve"> (416.9+89.6+58.4+33.1+64.3+64.3+64.3)/2557*100</f>
        <v>30.93077825576847</v>
      </c>
      <c r="Z26" s="3">
        <f xml:space="preserve"> (416.9+89.6+58.4+33.1+64.3+64.3+64.3+64.3)/2557*100</f>
        <v>33.445443879546339</v>
      </c>
      <c r="AA26" s="6">
        <f>Z26</f>
        <v>33.445443879546339</v>
      </c>
      <c r="AB26" s="146">
        <v>2024</v>
      </c>
      <c r="AC26" s="33"/>
    </row>
    <row r="27" spans="1:36" ht="47.2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 t="s">
        <v>61</v>
      </c>
      <c r="S27" s="41" t="s">
        <v>9</v>
      </c>
      <c r="T27" s="3">
        <f>((842+61)+58)/2737*100</f>
        <v>35.111435878699304</v>
      </c>
      <c r="U27" s="3">
        <f>((842+61)+58+42)/2738*100</f>
        <v>36.632578524470418</v>
      </c>
      <c r="V27" s="3">
        <f>((842+61)+58+42+7)/2738*100</f>
        <v>36.888239590942298</v>
      </c>
      <c r="W27" s="3">
        <f>((842+61)+58+42+7+37)/2738*100</f>
        <v>38.239590942293646</v>
      </c>
      <c r="X27" s="3">
        <f>((842+61)+58+42+37+37+7)/2738*100</f>
        <v>39.590942293645</v>
      </c>
      <c r="Y27" s="3">
        <f>((842+61)+58+42+37+37+48+7)/2738*100</f>
        <v>41.344046749452154</v>
      </c>
      <c r="Z27" s="3">
        <f>((842+61)+58+42+37+37+48+48+7)/2738*100</f>
        <v>43.097151205259316</v>
      </c>
      <c r="AA27" s="6">
        <f>Z27</f>
        <v>43.097151205259316</v>
      </c>
      <c r="AB27" s="146">
        <v>2024</v>
      </c>
      <c r="AC27" s="42"/>
      <c r="AD27" s="43"/>
      <c r="AE27" s="43"/>
      <c r="AF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62</v>
      </c>
      <c r="S28" s="41" t="s">
        <v>34</v>
      </c>
      <c r="T28" s="133">
        <f>T32/420.1</f>
        <v>0.21328255177338726</v>
      </c>
      <c r="U28" s="133">
        <f>U32/420.1</f>
        <v>0.13901452035229706</v>
      </c>
      <c r="V28" s="133">
        <f>V32/420.1</f>
        <v>7.8790764103784813E-2</v>
      </c>
      <c r="W28" s="133">
        <f t="shared" ref="W28:Z28" si="6">W32/420.1</f>
        <v>0.153058795524875</v>
      </c>
      <c r="X28" s="133">
        <f t="shared" si="6"/>
        <v>0.153058795524875</v>
      </c>
      <c r="Y28" s="133">
        <f t="shared" si="6"/>
        <v>0.153058795524875</v>
      </c>
      <c r="Z28" s="133">
        <f t="shared" si="6"/>
        <v>0.153058795524875</v>
      </c>
      <c r="AA28" s="6">
        <f>SUM(T28:Z28)</f>
        <v>1.043323018328969</v>
      </c>
      <c r="AB28" s="146">
        <v>2024</v>
      </c>
      <c r="AC28" s="33"/>
    </row>
    <row r="29" spans="1:36" ht="31.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63</v>
      </c>
      <c r="S29" s="146" t="s">
        <v>52</v>
      </c>
      <c r="T29" s="3">
        <f>T127</f>
        <v>2557</v>
      </c>
      <c r="U29" s="3">
        <f t="shared" ref="U29:Z29" si="7">U127</f>
        <v>2220.9</v>
      </c>
      <c r="V29" s="3">
        <f t="shared" si="7"/>
        <v>2265.9</v>
      </c>
      <c r="W29" s="3">
        <f t="shared" si="7"/>
        <v>2220.9</v>
      </c>
      <c r="X29" s="3">
        <f t="shared" si="7"/>
        <v>2220.9</v>
      </c>
      <c r="Y29" s="3">
        <f t="shared" si="7"/>
        <v>2220.9</v>
      </c>
      <c r="Z29" s="3">
        <f t="shared" si="7"/>
        <v>2220.9</v>
      </c>
      <c r="AA29" s="5">
        <f>SUM(Y29)</f>
        <v>2220.9</v>
      </c>
      <c r="AB29" s="146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7.2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64</v>
      </c>
      <c r="S30" s="146" t="s">
        <v>50</v>
      </c>
      <c r="T30" s="44">
        <f>T124</f>
        <v>2400</v>
      </c>
      <c r="U30" s="44">
        <f t="shared" ref="U30:Y30" si="8">U124</f>
        <v>2400</v>
      </c>
      <c r="V30" s="44">
        <f t="shared" si="8"/>
        <v>4059</v>
      </c>
      <c r="W30" s="44">
        <f t="shared" si="8"/>
        <v>2400</v>
      </c>
      <c r="X30" s="44">
        <f t="shared" si="8"/>
        <v>2400</v>
      </c>
      <c r="Y30" s="44">
        <f t="shared" si="8"/>
        <v>2400</v>
      </c>
      <c r="Z30" s="44">
        <f t="shared" ref="Z30" si="9">Z124</f>
        <v>2400</v>
      </c>
      <c r="AA30" s="45">
        <f>SUM(T30:Z30)</f>
        <v>18459</v>
      </c>
      <c r="AB30" s="146">
        <v>2024</v>
      </c>
      <c r="AC30" s="33"/>
    </row>
    <row r="31" spans="1:36" ht="31.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 t="s">
        <v>35</v>
      </c>
      <c r="S31" s="50" t="s">
        <v>267</v>
      </c>
      <c r="T31" s="49">
        <f>T41+T50+T56+T67+T83+T105+T108+T118+T121+T129+T132+T134+T141</f>
        <v>325992.60000000003</v>
      </c>
      <c r="U31" s="49">
        <f>U41+U50+U56+U67+U83+U105+U108+U118+U121+U129+U132+U134</f>
        <v>483865.9</v>
      </c>
      <c r="V31" s="49">
        <f>V41+V50+V56+V67+V83+V105+V108+V118+V121+V129+V132+V134+V141</f>
        <v>423434.7</v>
      </c>
      <c r="W31" s="49">
        <f t="shared" ref="W31:Y31" si="10">W41+W50+W56+W67+W83+W105+W108+W118+W121+W129+W132+W134+W141</f>
        <v>225977.10000000003</v>
      </c>
      <c r="X31" s="49">
        <f t="shared" si="10"/>
        <v>225977.10000000003</v>
      </c>
      <c r="Y31" s="49">
        <f t="shared" si="10"/>
        <v>209134</v>
      </c>
      <c r="Z31" s="49">
        <f t="shared" ref="Z31" si="11">Z41+Z50+Z56+Z67+Z83+Z105+Z108+Z118+Z121+Z129+Z132+Z134+Z141</f>
        <v>209134</v>
      </c>
      <c r="AA31" s="49">
        <f>SUM(T31:Z31)</f>
        <v>2103515.4000000004</v>
      </c>
      <c r="AB31" s="50">
        <v>2024</v>
      </c>
      <c r="AC31" s="114"/>
    </row>
    <row r="32" spans="1:36" ht="31.1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51" t="s">
        <v>65</v>
      </c>
      <c r="S32" s="146" t="s">
        <v>52</v>
      </c>
      <c r="T32" s="4">
        <f>T47+T140</f>
        <v>89.6</v>
      </c>
      <c r="U32" s="4">
        <f>U47+U140</f>
        <v>58.4</v>
      </c>
      <c r="V32" s="3">
        <f>V47+V140</f>
        <v>33.1</v>
      </c>
      <c r="W32" s="4">
        <f>W47+W140</f>
        <v>64.3</v>
      </c>
      <c r="X32" s="4">
        <f>X47+X140</f>
        <v>64.3</v>
      </c>
      <c r="Y32" s="4">
        <f t="shared" ref="Y32:Z32" si="12">Y47+Y140</f>
        <v>64.3</v>
      </c>
      <c r="Z32" s="4">
        <f t="shared" si="12"/>
        <v>64.3</v>
      </c>
      <c r="AA32" s="5">
        <f>SUM(T32:Z32)</f>
        <v>438.3</v>
      </c>
      <c r="AB32" s="146">
        <v>2024</v>
      </c>
      <c r="AC32" s="33"/>
    </row>
    <row r="33" spans="1:31" s="54" customFormat="1" ht="31.1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 t="s">
        <v>66</v>
      </c>
      <c r="S33" s="41" t="s">
        <v>38</v>
      </c>
      <c r="T33" s="2">
        <f>T46+T139</f>
        <v>5</v>
      </c>
      <c r="U33" s="2">
        <f>U46+U139</f>
        <v>6</v>
      </c>
      <c r="V33" s="44">
        <f>V46+V139</f>
        <v>4</v>
      </c>
      <c r="W33" s="2">
        <f>W46+W139</f>
        <v>3</v>
      </c>
      <c r="X33" s="2">
        <f>X46+X139</f>
        <v>3</v>
      </c>
      <c r="Y33" s="44">
        <f>Y139</f>
        <v>3</v>
      </c>
      <c r="Z33" s="44">
        <f>Z139</f>
        <v>3</v>
      </c>
      <c r="AA33" s="45">
        <f>SUM(T33:Z33)</f>
        <v>27</v>
      </c>
      <c r="AB33" s="146">
        <v>2024</v>
      </c>
      <c r="AC33" s="33"/>
      <c r="AD33" s="53"/>
    </row>
    <row r="34" spans="1:31" s="54" customFormat="1" ht="31.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 t="s">
        <v>67</v>
      </c>
      <c r="S34" s="41" t="s">
        <v>9</v>
      </c>
      <c r="T34" s="55">
        <v>100</v>
      </c>
      <c r="U34" s="55">
        <v>100</v>
      </c>
      <c r="V34" s="55">
        <v>100</v>
      </c>
      <c r="W34" s="55">
        <v>100</v>
      </c>
      <c r="X34" s="55">
        <v>100</v>
      </c>
      <c r="Y34" s="55">
        <v>100</v>
      </c>
      <c r="Z34" s="55">
        <v>100</v>
      </c>
      <c r="AA34" s="56">
        <v>100</v>
      </c>
      <c r="AB34" s="146">
        <v>2024</v>
      </c>
      <c r="AC34" s="33"/>
      <c r="AD34" s="53"/>
    </row>
    <row r="35" spans="1:31" ht="47.2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5" t="s">
        <v>68</v>
      </c>
      <c r="S35" s="146" t="s">
        <v>50</v>
      </c>
      <c r="T35" s="44">
        <f t="shared" ref="T35:Y35" si="13">T124</f>
        <v>2400</v>
      </c>
      <c r="U35" s="44">
        <f t="shared" si="13"/>
        <v>2400</v>
      </c>
      <c r="V35" s="44">
        <f t="shared" si="13"/>
        <v>4059</v>
      </c>
      <c r="W35" s="44">
        <f t="shared" si="13"/>
        <v>2400</v>
      </c>
      <c r="X35" s="44">
        <f t="shared" si="13"/>
        <v>2400</v>
      </c>
      <c r="Y35" s="44">
        <f t="shared" si="13"/>
        <v>2400</v>
      </c>
      <c r="Z35" s="44">
        <f t="shared" ref="Z35" si="14">Z124</f>
        <v>2400</v>
      </c>
      <c r="AA35" s="45">
        <f>SUM(T35:Z35)</f>
        <v>18459</v>
      </c>
      <c r="AB35" s="146">
        <v>2024</v>
      </c>
      <c r="AC35" s="33"/>
    </row>
    <row r="36" spans="1:31" ht="31.5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5" t="s">
        <v>69</v>
      </c>
      <c r="S36" s="146" t="s">
        <v>38</v>
      </c>
      <c r="T36" s="44">
        <f t="shared" ref="T36:Y36" si="15">T57</f>
        <v>10</v>
      </c>
      <c r="U36" s="44">
        <f t="shared" si="15"/>
        <v>10</v>
      </c>
      <c r="V36" s="44">
        <f t="shared" si="15"/>
        <v>9</v>
      </c>
      <c r="W36" s="44">
        <f t="shared" si="15"/>
        <v>10</v>
      </c>
      <c r="X36" s="44">
        <f t="shared" si="15"/>
        <v>10</v>
      </c>
      <c r="Y36" s="44">
        <f t="shared" si="15"/>
        <v>10</v>
      </c>
      <c r="Z36" s="44">
        <f t="shared" ref="Z36" si="16">Z57</f>
        <v>10</v>
      </c>
      <c r="AA36" s="52">
        <v>10</v>
      </c>
      <c r="AB36" s="146">
        <v>2024</v>
      </c>
      <c r="AC36" s="33"/>
    </row>
    <row r="37" spans="1:31" ht="31.5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51" t="s">
        <v>70</v>
      </c>
      <c r="S37" s="146" t="s">
        <v>38</v>
      </c>
      <c r="T37" s="44">
        <f t="shared" ref="T37:Y37" si="17">T68</f>
        <v>20</v>
      </c>
      <c r="U37" s="2">
        <f t="shared" si="17"/>
        <v>20</v>
      </c>
      <c r="V37" s="2">
        <f t="shared" si="17"/>
        <v>20</v>
      </c>
      <c r="W37" s="2">
        <f t="shared" si="17"/>
        <v>20</v>
      </c>
      <c r="X37" s="2">
        <f t="shared" si="17"/>
        <v>20</v>
      </c>
      <c r="Y37" s="2">
        <f t="shared" si="17"/>
        <v>20</v>
      </c>
      <c r="Z37" s="2">
        <f t="shared" ref="Z37" si="18">Z68</f>
        <v>20</v>
      </c>
      <c r="AA37" s="52">
        <v>20</v>
      </c>
      <c r="AB37" s="146">
        <v>2024</v>
      </c>
      <c r="AC37" s="33"/>
    </row>
    <row r="38" spans="1:31" s="54" customFormat="1" ht="63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51" t="s">
        <v>346</v>
      </c>
      <c r="S38" s="41" t="s">
        <v>38</v>
      </c>
      <c r="T38" s="44">
        <f>T86</f>
        <v>25</v>
      </c>
      <c r="U38" s="44">
        <f>U86</f>
        <v>77</v>
      </c>
      <c r="V38" s="44">
        <f t="shared" ref="V38:Y38" si="19">V86</f>
        <v>97</v>
      </c>
      <c r="W38" s="44">
        <f t="shared" si="19"/>
        <v>54</v>
      </c>
      <c r="X38" s="44">
        <f t="shared" si="19"/>
        <v>54</v>
      </c>
      <c r="Y38" s="44">
        <f t="shared" si="19"/>
        <v>54</v>
      </c>
      <c r="Z38" s="44">
        <f t="shared" ref="Z38" si="20">Z86</f>
        <v>54</v>
      </c>
      <c r="AA38" s="52">
        <f>SUM(T38:Z38)</f>
        <v>415</v>
      </c>
      <c r="AB38" s="146">
        <v>2024</v>
      </c>
      <c r="AC38" s="114"/>
      <c r="AD38" s="53"/>
    </row>
    <row r="39" spans="1:31" s="54" customFormat="1" ht="63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45" t="s">
        <v>71</v>
      </c>
      <c r="S39" s="58" t="s">
        <v>41</v>
      </c>
      <c r="T39" s="59">
        <v>1</v>
      </c>
      <c r="U39" s="59">
        <v>1</v>
      </c>
      <c r="V39" s="59">
        <v>1</v>
      </c>
      <c r="W39" s="59">
        <v>1</v>
      </c>
      <c r="X39" s="59">
        <v>1</v>
      </c>
      <c r="Y39" s="59">
        <v>1</v>
      </c>
      <c r="Z39" s="59">
        <v>1</v>
      </c>
      <c r="AA39" s="60">
        <v>1</v>
      </c>
      <c r="AB39" s="61">
        <v>2024</v>
      </c>
      <c r="AC39" s="33"/>
      <c r="AD39" s="53"/>
    </row>
    <row r="40" spans="1:31" ht="31.5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 t="s">
        <v>72</v>
      </c>
      <c r="S40" s="41" t="s">
        <v>38</v>
      </c>
      <c r="T40" s="44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52">
        <f>SUM(T40:Z40)</f>
        <v>41</v>
      </c>
      <c r="AB40" s="146">
        <v>2024</v>
      </c>
      <c r="AC40" s="125"/>
      <c r="AD40" s="105"/>
      <c r="AE40" s="8"/>
    </row>
    <row r="41" spans="1:3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52" t="s">
        <v>73</v>
      </c>
      <c r="S41" s="58" t="s">
        <v>0</v>
      </c>
      <c r="T41" s="62">
        <f t="shared" ref="T41:Y41" si="21">T42+T43+T44+T45</f>
        <v>85389.599999999991</v>
      </c>
      <c r="U41" s="62">
        <f t="shared" si="21"/>
        <v>0</v>
      </c>
      <c r="V41" s="62">
        <f t="shared" si="21"/>
        <v>0</v>
      </c>
      <c r="W41" s="62">
        <f t="shared" si="21"/>
        <v>0</v>
      </c>
      <c r="X41" s="62">
        <f t="shared" si="21"/>
        <v>0</v>
      </c>
      <c r="Y41" s="62">
        <f t="shared" si="21"/>
        <v>0</v>
      </c>
      <c r="Z41" s="62">
        <f t="shared" ref="Z41" si="22">Z42+Z43+Z44+Z45</f>
        <v>0</v>
      </c>
      <c r="AA41" s="62">
        <f>SUM(T41:Y41)</f>
        <v>85389.599999999991</v>
      </c>
      <c r="AB41" s="61">
        <v>2018</v>
      </c>
      <c r="AC41" s="129"/>
      <c r="AD41" s="63"/>
      <c r="AE41" s="8"/>
    </row>
    <row r="42" spans="1:31" ht="16.899999999999999" hidden="1" customHeight="1" x14ac:dyDescent="0.25">
      <c r="A42" s="57" t="s">
        <v>18</v>
      </c>
      <c r="B42" s="57" t="s">
        <v>19</v>
      </c>
      <c r="C42" s="57" t="s">
        <v>20</v>
      </c>
      <c r="D42" s="57" t="s">
        <v>18</v>
      </c>
      <c r="E42" s="57" t="s">
        <v>21</v>
      </c>
      <c r="F42" s="57" t="s">
        <v>18</v>
      </c>
      <c r="G42" s="57" t="s">
        <v>22</v>
      </c>
      <c r="H42" s="57" t="s">
        <v>19</v>
      </c>
      <c r="I42" s="57" t="s">
        <v>24</v>
      </c>
      <c r="J42" s="57" t="s">
        <v>18</v>
      </c>
      <c r="K42" s="57" t="s">
        <v>18</v>
      </c>
      <c r="L42" s="57" t="s">
        <v>19</v>
      </c>
      <c r="M42" s="57" t="s">
        <v>44</v>
      </c>
      <c r="N42" s="57" t="s">
        <v>21</v>
      </c>
      <c r="O42" s="57" t="s">
        <v>21</v>
      </c>
      <c r="P42" s="57" t="s">
        <v>21</v>
      </c>
      <c r="Q42" s="57" t="s">
        <v>45</v>
      </c>
      <c r="R42" s="152"/>
      <c r="S42" s="58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2">
        <f>SUM(T42:Y42)</f>
        <v>0</v>
      </c>
      <c r="AB42" s="61">
        <v>2022</v>
      </c>
      <c r="AD42" s="63"/>
      <c r="AE42" s="8"/>
    </row>
    <row r="43" spans="1:31" ht="16.899999999999999" hidden="1" customHeight="1" x14ac:dyDescent="0.25">
      <c r="A43" s="57" t="s">
        <v>18</v>
      </c>
      <c r="B43" s="57" t="s">
        <v>19</v>
      </c>
      <c r="C43" s="57" t="s">
        <v>20</v>
      </c>
      <c r="D43" s="57" t="s">
        <v>18</v>
      </c>
      <c r="E43" s="57" t="s">
        <v>21</v>
      </c>
      <c r="F43" s="57" t="s">
        <v>18</v>
      </c>
      <c r="G43" s="57" t="s">
        <v>22</v>
      </c>
      <c r="H43" s="57" t="s">
        <v>19</v>
      </c>
      <c r="I43" s="57" t="s">
        <v>24</v>
      </c>
      <c r="J43" s="57" t="s">
        <v>18</v>
      </c>
      <c r="K43" s="57" t="s">
        <v>18</v>
      </c>
      <c r="L43" s="57" t="s">
        <v>19</v>
      </c>
      <c r="M43" s="57" t="s">
        <v>44</v>
      </c>
      <c r="N43" s="57" t="s">
        <v>21</v>
      </c>
      <c r="O43" s="57" t="s">
        <v>21</v>
      </c>
      <c r="P43" s="57" t="s">
        <v>21</v>
      </c>
      <c r="Q43" s="57" t="s">
        <v>45</v>
      </c>
      <c r="R43" s="152"/>
      <c r="S43" s="58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2">
        <f>SUM(T43:Y43)</f>
        <v>0</v>
      </c>
      <c r="AB43" s="61">
        <v>2022</v>
      </c>
      <c r="AD43" s="63"/>
      <c r="AE43" s="8"/>
    </row>
    <row r="44" spans="1:31" x14ac:dyDescent="0.25">
      <c r="A44" s="57" t="s">
        <v>18</v>
      </c>
      <c r="B44" s="57" t="s">
        <v>19</v>
      </c>
      <c r="C44" s="57" t="s">
        <v>20</v>
      </c>
      <c r="D44" s="57" t="s">
        <v>18</v>
      </c>
      <c r="E44" s="57" t="s">
        <v>21</v>
      </c>
      <c r="F44" s="57" t="s">
        <v>18</v>
      </c>
      <c r="G44" s="57" t="s">
        <v>22</v>
      </c>
      <c r="H44" s="57" t="s">
        <v>19</v>
      </c>
      <c r="I44" s="57" t="s">
        <v>24</v>
      </c>
      <c r="J44" s="57" t="s">
        <v>18</v>
      </c>
      <c r="K44" s="57" t="s">
        <v>18</v>
      </c>
      <c r="L44" s="57" t="s">
        <v>19</v>
      </c>
      <c r="M44" s="57" t="s">
        <v>40</v>
      </c>
      <c r="N44" s="57" t="s">
        <v>21</v>
      </c>
      <c r="O44" s="57" t="s">
        <v>21</v>
      </c>
      <c r="P44" s="57" t="s">
        <v>21</v>
      </c>
      <c r="Q44" s="57" t="s">
        <v>18</v>
      </c>
      <c r="R44" s="152"/>
      <c r="S44" s="58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2">
        <f>SUM(T44:Y44)</f>
        <v>83674.399999999994</v>
      </c>
      <c r="AB44" s="61">
        <v>2018</v>
      </c>
      <c r="AC44" s="127"/>
      <c r="AD44" s="105"/>
      <c r="AE44" s="105"/>
    </row>
    <row r="45" spans="1:31" x14ac:dyDescent="0.25">
      <c r="A45" s="57" t="s">
        <v>18</v>
      </c>
      <c r="B45" s="57" t="s">
        <v>19</v>
      </c>
      <c r="C45" s="57" t="s">
        <v>20</v>
      </c>
      <c r="D45" s="57" t="s">
        <v>18</v>
      </c>
      <c r="E45" s="57" t="s">
        <v>21</v>
      </c>
      <c r="F45" s="57" t="s">
        <v>18</v>
      </c>
      <c r="G45" s="57" t="s">
        <v>22</v>
      </c>
      <c r="H45" s="57" t="s">
        <v>19</v>
      </c>
      <c r="I45" s="57" t="s">
        <v>24</v>
      </c>
      <c r="J45" s="57" t="s">
        <v>18</v>
      </c>
      <c r="K45" s="57" t="s">
        <v>18</v>
      </c>
      <c r="L45" s="57" t="s">
        <v>19</v>
      </c>
      <c r="M45" s="57" t="s">
        <v>18</v>
      </c>
      <c r="N45" s="57" t="s">
        <v>18</v>
      </c>
      <c r="O45" s="57" t="s">
        <v>18</v>
      </c>
      <c r="P45" s="57" t="s">
        <v>18</v>
      </c>
      <c r="Q45" s="57" t="s">
        <v>18</v>
      </c>
      <c r="R45" s="152"/>
      <c r="S45" s="58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2">
        <f>T45+U45+V45+W45+X45+Y45</f>
        <v>1715.2000000000003</v>
      </c>
      <c r="AB45" s="61">
        <v>2018</v>
      </c>
      <c r="AC45" s="127"/>
      <c r="AD45" s="107"/>
      <c r="AE45" s="107"/>
    </row>
    <row r="46" spans="1:31" s="75" customFormat="1" ht="31.9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4" t="s">
        <v>74</v>
      </c>
      <c r="S46" s="65" t="s">
        <v>38</v>
      </c>
      <c r="T46" s="2">
        <v>5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52">
        <f>T46</f>
        <v>5</v>
      </c>
      <c r="AB46" s="76">
        <v>2018</v>
      </c>
      <c r="AC46" s="33"/>
      <c r="AD46" s="99"/>
      <c r="AE46" s="99"/>
    </row>
    <row r="47" spans="1:31" s="75" customFormat="1" ht="32.450000000000003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64" t="s">
        <v>75</v>
      </c>
      <c r="S47" s="65" t="s">
        <v>52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6">
        <v>2018</v>
      </c>
      <c r="AC47" s="33"/>
      <c r="AD47" s="99"/>
      <c r="AE47" s="99"/>
    </row>
    <row r="48" spans="1:31" ht="47.25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145" t="s">
        <v>76</v>
      </c>
      <c r="S48" s="58" t="s">
        <v>41</v>
      </c>
      <c r="T48" s="59">
        <v>0</v>
      </c>
      <c r="U48" s="59">
        <v>0</v>
      </c>
      <c r="V48" s="59">
        <v>1</v>
      </c>
      <c r="W48" s="59">
        <v>1</v>
      </c>
      <c r="X48" s="59">
        <v>1</v>
      </c>
      <c r="Y48" s="59">
        <v>1</v>
      </c>
      <c r="Z48" s="59">
        <v>1</v>
      </c>
      <c r="AA48" s="60">
        <v>1</v>
      </c>
      <c r="AB48" s="61">
        <v>2024</v>
      </c>
      <c r="AC48" s="33"/>
      <c r="AD48" s="107"/>
      <c r="AE48" s="107"/>
    </row>
    <row r="49" spans="1:34" s="54" customFormat="1" ht="31.5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 t="s">
        <v>77</v>
      </c>
      <c r="S49" s="55" t="s">
        <v>38</v>
      </c>
      <c r="T49" s="44">
        <v>0</v>
      </c>
      <c r="U49" s="44">
        <v>0</v>
      </c>
      <c r="V49" s="44">
        <v>1</v>
      </c>
      <c r="W49" s="44">
        <v>1</v>
      </c>
      <c r="X49" s="44">
        <v>1</v>
      </c>
      <c r="Y49" s="44">
        <v>1</v>
      </c>
      <c r="Z49" s="44">
        <v>1</v>
      </c>
      <c r="AA49" s="45">
        <f>SUM(T49:Z49)</f>
        <v>5</v>
      </c>
      <c r="AB49" s="41">
        <v>2024</v>
      </c>
      <c r="AC49" s="33"/>
      <c r="AD49" s="53"/>
    </row>
    <row r="50" spans="1:34" ht="24.6" hidden="1" customHeigh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53" t="s">
        <v>78</v>
      </c>
      <c r="S50" s="66" t="s">
        <v>0</v>
      </c>
      <c r="T50" s="1"/>
      <c r="U50" s="1">
        <f t="shared" ref="U50:Z50" si="23">U52</f>
        <v>0</v>
      </c>
      <c r="V50" s="1">
        <f t="shared" si="23"/>
        <v>0</v>
      </c>
      <c r="W50" s="1">
        <f t="shared" si="23"/>
        <v>0</v>
      </c>
      <c r="X50" s="1">
        <f t="shared" si="23"/>
        <v>0</v>
      </c>
      <c r="Y50" s="1">
        <f t="shared" si="23"/>
        <v>0</v>
      </c>
      <c r="Z50" s="1">
        <f t="shared" si="23"/>
        <v>0</v>
      </c>
      <c r="AA50" s="62">
        <f>T50+U50+V50+W50+X50+Y50</f>
        <v>0</v>
      </c>
      <c r="AB50" s="61">
        <v>2018</v>
      </c>
    </row>
    <row r="51" spans="1:34" ht="22.15" hidden="1" customHeight="1" x14ac:dyDescent="0.25">
      <c r="A51" s="57" t="s">
        <v>18</v>
      </c>
      <c r="B51" s="57" t="s">
        <v>18</v>
      </c>
      <c r="C51" s="57" t="s">
        <v>23</v>
      </c>
      <c r="D51" s="57" t="s">
        <v>18</v>
      </c>
      <c r="E51" s="57" t="s">
        <v>21</v>
      </c>
      <c r="F51" s="57" t="s">
        <v>18</v>
      </c>
      <c r="G51" s="57" t="s">
        <v>22</v>
      </c>
      <c r="H51" s="57" t="s">
        <v>19</v>
      </c>
      <c r="I51" s="57" t="s">
        <v>24</v>
      </c>
      <c r="J51" s="57" t="s">
        <v>18</v>
      </c>
      <c r="K51" s="57" t="s">
        <v>18</v>
      </c>
      <c r="L51" s="57" t="s">
        <v>19</v>
      </c>
      <c r="M51" s="57" t="s">
        <v>18</v>
      </c>
      <c r="N51" s="57" t="s">
        <v>18</v>
      </c>
      <c r="O51" s="57" t="s">
        <v>18</v>
      </c>
      <c r="P51" s="57" t="s">
        <v>18</v>
      </c>
      <c r="Q51" s="57" t="s">
        <v>18</v>
      </c>
      <c r="R51" s="154"/>
      <c r="S51" s="58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2">
        <f>T51+U51+V51+W51+X51+Y51</f>
        <v>0</v>
      </c>
      <c r="AB51" s="61">
        <v>2018</v>
      </c>
    </row>
    <row r="52" spans="1:34" ht="20.45" hidden="1" customHeight="1" x14ac:dyDescent="0.25">
      <c r="A52" s="57" t="s">
        <v>18</v>
      </c>
      <c r="B52" s="57" t="s">
        <v>18</v>
      </c>
      <c r="C52" s="57" t="s">
        <v>23</v>
      </c>
      <c r="D52" s="57" t="s">
        <v>18</v>
      </c>
      <c r="E52" s="57" t="s">
        <v>21</v>
      </c>
      <c r="F52" s="57" t="s">
        <v>18</v>
      </c>
      <c r="G52" s="57" t="s">
        <v>22</v>
      </c>
      <c r="H52" s="57" t="s">
        <v>19</v>
      </c>
      <c r="I52" s="57" t="s">
        <v>24</v>
      </c>
      <c r="J52" s="57" t="s">
        <v>18</v>
      </c>
      <c r="K52" s="57" t="s">
        <v>18</v>
      </c>
      <c r="L52" s="57" t="s">
        <v>19</v>
      </c>
      <c r="M52" s="57" t="s">
        <v>19</v>
      </c>
      <c r="N52" s="57" t="s">
        <v>18</v>
      </c>
      <c r="O52" s="57" t="s">
        <v>23</v>
      </c>
      <c r="P52" s="57" t="s">
        <v>19</v>
      </c>
      <c r="Q52" s="57" t="s">
        <v>45</v>
      </c>
      <c r="R52" s="154"/>
      <c r="S52" s="66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2">
        <f>T52+U52+V52+W52+X52+Y52</f>
        <v>0</v>
      </c>
      <c r="AB52" s="61">
        <v>2018</v>
      </c>
    </row>
    <row r="53" spans="1:34" ht="21" hidden="1" customHeight="1" x14ac:dyDescent="0.25">
      <c r="A53" s="57" t="s">
        <v>18</v>
      </c>
      <c r="B53" s="57" t="s">
        <v>18</v>
      </c>
      <c r="C53" s="57" t="s">
        <v>23</v>
      </c>
      <c r="D53" s="57" t="s">
        <v>18</v>
      </c>
      <c r="E53" s="57" t="s">
        <v>21</v>
      </c>
      <c r="F53" s="57" t="s">
        <v>18</v>
      </c>
      <c r="G53" s="57" t="s">
        <v>22</v>
      </c>
      <c r="H53" s="57" t="s">
        <v>19</v>
      </c>
      <c r="I53" s="57" t="s">
        <v>24</v>
      </c>
      <c r="J53" s="57" t="s">
        <v>18</v>
      </c>
      <c r="K53" s="57" t="s">
        <v>18</v>
      </c>
      <c r="L53" s="57" t="s">
        <v>19</v>
      </c>
      <c r="M53" s="57" t="s">
        <v>37</v>
      </c>
      <c r="N53" s="57" t="s">
        <v>18</v>
      </c>
      <c r="O53" s="57" t="s">
        <v>23</v>
      </c>
      <c r="P53" s="57" t="s">
        <v>19</v>
      </c>
      <c r="Q53" s="57" t="s">
        <v>47</v>
      </c>
      <c r="R53" s="154"/>
      <c r="S53" s="66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2">
        <f>T53+U53+V53+W53+X53+Y53</f>
        <v>0</v>
      </c>
      <c r="AB53" s="60">
        <v>2018</v>
      </c>
    </row>
    <row r="54" spans="1:34" ht="36" hidden="1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 t="s">
        <v>79</v>
      </c>
      <c r="S54" s="41" t="s">
        <v>50</v>
      </c>
      <c r="T54" s="44"/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52"/>
      <c r="AB54" s="2">
        <v>2018</v>
      </c>
      <c r="AD54" s="107"/>
      <c r="AE54" s="107"/>
    </row>
    <row r="55" spans="1:34" ht="41.45" hidden="1" customHeight="1" x14ac:dyDescent="0.25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7" t="s">
        <v>80</v>
      </c>
      <c r="S55" s="68" t="s">
        <v>9</v>
      </c>
      <c r="T55" s="69">
        <v>100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70">
        <v>100</v>
      </c>
      <c r="AB55" s="23">
        <v>2023</v>
      </c>
      <c r="AC55" s="119"/>
      <c r="AD55" s="105"/>
    </row>
    <row r="56" spans="1:34" ht="31.5" x14ac:dyDescent="0.25">
      <c r="A56" s="57"/>
      <c r="B56" s="57"/>
      <c r="C56" s="57"/>
      <c r="D56" s="57" t="s">
        <v>18</v>
      </c>
      <c r="E56" s="57" t="s">
        <v>21</v>
      </c>
      <c r="F56" s="57" t="s">
        <v>18</v>
      </c>
      <c r="G56" s="57" t="s">
        <v>22</v>
      </c>
      <c r="H56" s="57" t="s">
        <v>19</v>
      </c>
      <c r="I56" s="57" t="s">
        <v>24</v>
      </c>
      <c r="J56" s="57" t="s">
        <v>18</v>
      </c>
      <c r="K56" s="57" t="s">
        <v>18</v>
      </c>
      <c r="L56" s="57" t="s">
        <v>19</v>
      </c>
      <c r="M56" s="57" t="s">
        <v>18</v>
      </c>
      <c r="N56" s="57" t="s">
        <v>18</v>
      </c>
      <c r="O56" s="57" t="s">
        <v>18</v>
      </c>
      <c r="P56" s="57" t="s">
        <v>18</v>
      </c>
      <c r="Q56" s="57" t="s">
        <v>18</v>
      </c>
      <c r="R56" s="71" t="s">
        <v>81</v>
      </c>
      <c r="S56" s="61" t="s">
        <v>0</v>
      </c>
      <c r="T56" s="62">
        <f t="shared" ref="T56:Y56" si="24">T58+T60+T65+T62</f>
        <v>5077.4000000000005</v>
      </c>
      <c r="U56" s="62">
        <f t="shared" si="24"/>
        <v>2855.4</v>
      </c>
      <c r="V56" s="62">
        <f t="shared" si="24"/>
        <v>3500</v>
      </c>
      <c r="W56" s="62">
        <f t="shared" si="24"/>
        <v>3500</v>
      </c>
      <c r="X56" s="62">
        <f t="shared" si="24"/>
        <v>3500</v>
      </c>
      <c r="Y56" s="62">
        <f t="shared" si="24"/>
        <v>3500</v>
      </c>
      <c r="Z56" s="62">
        <f t="shared" ref="Z56" si="25">Z58+Z60+Z65+Z62</f>
        <v>3500</v>
      </c>
      <c r="AA56" s="62">
        <f>SUM(T56:Z56)</f>
        <v>25432.800000000003</v>
      </c>
      <c r="AB56" s="61">
        <v>2024</v>
      </c>
      <c r="AC56" s="124"/>
    </row>
    <row r="57" spans="1:34" ht="31.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64" t="s">
        <v>82</v>
      </c>
      <c r="S57" s="146" t="s">
        <v>38</v>
      </c>
      <c r="T57" s="2">
        <f t="shared" ref="T57:Y57" si="26">T59+T61+T63+T66</f>
        <v>10</v>
      </c>
      <c r="U57" s="2">
        <f t="shared" si="26"/>
        <v>10</v>
      </c>
      <c r="V57" s="2">
        <f t="shared" si="26"/>
        <v>9</v>
      </c>
      <c r="W57" s="2">
        <f t="shared" si="26"/>
        <v>10</v>
      </c>
      <c r="X57" s="2">
        <f t="shared" si="26"/>
        <v>10</v>
      </c>
      <c r="Y57" s="2">
        <f t="shared" si="26"/>
        <v>10</v>
      </c>
      <c r="Z57" s="2">
        <f t="shared" ref="Z57" si="27">Z59+Z61+Z63+Z66</f>
        <v>10</v>
      </c>
      <c r="AA57" s="45">
        <v>10</v>
      </c>
      <c r="AB57" s="41">
        <v>2024</v>
      </c>
      <c r="AC57" s="130"/>
      <c r="AD57" s="108"/>
      <c r="AE57" s="120"/>
      <c r="AF57" s="109"/>
      <c r="AG57" s="120"/>
      <c r="AH57" s="109"/>
    </row>
    <row r="58" spans="1:34" s="75" customFormat="1" ht="31.5" x14ac:dyDescent="0.25">
      <c r="A58" s="57" t="s">
        <v>18</v>
      </c>
      <c r="B58" s="57" t="s">
        <v>18</v>
      </c>
      <c r="C58" s="57" t="s">
        <v>22</v>
      </c>
      <c r="D58" s="57" t="s">
        <v>18</v>
      </c>
      <c r="E58" s="57" t="s">
        <v>21</v>
      </c>
      <c r="F58" s="57" t="s">
        <v>18</v>
      </c>
      <c r="G58" s="57" t="s">
        <v>22</v>
      </c>
      <c r="H58" s="57" t="s">
        <v>19</v>
      </c>
      <c r="I58" s="57" t="s">
        <v>24</v>
      </c>
      <c r="J58" s="57" t="s">
        <v>18</v>
      </c>
      <c r="K58" s="57" t="s">
        <v>18</v>
      </c>
      <c r="L58" s="57" t="s">
        <v>19</v>
      </c>
      <c r="M58" s="57" t="s">
        <v>18</v>
      </c>
      <c r="N58" s="57" t="s">
        <v>18</v>
      </c>
      <c r="O58" s="57" t="s">
        <v>18</v>
      </c>
      <c r="P58" s="57" t="s">
        <v>18</v>
      </c>
      <c r="Q58" s="57" t="s">
        <v>18</v>
      </c>
      <c r="R58" s="72" t="s">
        <v>83</v>
      </c>
      <c r="S58" s="58" t="s">
        <v>0</v>
      </c>
      <c r="T58" s="1">
        <f>1417.5-141.8-26.5</f>
        <v>1249.2</v>
      </c>
      <c r="U58" s="1">
        <f>1000-88.8-46.3</f>
        <v>864.90000000000009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2">
        <f>SUM(T58:Z58)</f>
        <v>7114.1</v>
      </c>
      <c r="AB58" s="61">
        <v>2024</v>
      </c>
      <c r="AC58" s="122"/>
      <c r="AD58" s="74"/>
      <c r="AE58" s="74"/>
    </row>
    <row r="59" spans="1:34" s="54" customFormat="1" ht="47.25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51" t="s">
        <v>84</v>
      </c>
      <c r="S59" s="41" t="s">
        <v>38</v>
      </c>
      <c r="T59" s="2">
        <v>3</v>
      </c>
      <c r="U59" s="2">
        <v>3</v>
      </c>
      <c r="V59" s="2">
        <v>2</v>
      </c>
      <c r="W59" s="2">
        <v>3</v>
      </c>
      <c r="X59" s="2">
        <v>3</v>
      </c>
      <c r="Y59" s="2">
        <v>3</v>
      </c>
      <c r="Z59" s="2">
        <v>3</v>
      </c>
      <c r="AA59" s="45">
        <v>3</v>
      </c>
      <c r="AB59" s="41">
        <v>2024</v>
      </c>
      <c r="AC59" s="130"/>
      <c r="AD59" s="108"/>
      <c r="AE59" s="108"/>
    </row>
    <row r="60" spans="1:34" s="75" customFormat="1" ht="31.5" x14ac:dyDescent="0.25">
      <c r="A60" s="57" t="s">
        <v>18</v>
      </c>
      <c r="B60" s="57" t="s">
        <v>18</v>
      </c>
      <c r="C60" s="57" t="s">
        <v>24</v>
      </c>
      <c r="D60" s="57" t="s">
        <v>18</v>
      </c>
      <c r="E60" s="57" t="s">
        <v>21</v>
      </c>
      <c r="F60" s="57" t="s">
        <v>18</v>
      </c>
      <c r="G60" s="57" t="s">
        <v>22</v>
      </c>
      <c r="H60" s="57" t="s">
        <v>19</v>
      </c>
      <c r="I60" s="57" t="s">
        <v>24</v>
      </c>
      <c r="J60" s="57" t="s">
        <v>18</v>
      </c>
      <c r="K60" s="57" t="s">
        <v>18</v>
      </c>
      <c r="L60" s="57" t="s">
        <v>19</v>
      </c>
      <c r="M60" s="57" t="s">
        <v>18</v>
      </c>
      <c r="N60" s="57" t="s">
        <v>18</v>
      </c>
      <c r="O60" s="57" t="s">
        <v>18</v>
      </c>
      <c r="P60" s="57" t="s">
        <v>18</v>
      </c>
      <c r="Q60" s="57" t="s">
        <v>18</v>
      </c>
      <c r="R60" s="72" t="s">
        <v>85</v>
      </c>
      <c r="S60" s="58" t="s">
        <v>0</v>
      </c>
      <c r="T60" s="1">
        <f>1115-77.4</f>
        <v>1037.5999999999999</v>
      </c>
      <c r="U60" s="1">
        <f>1100-208-27.6</f>
        <v>864.4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2">
        <f>SUM(T60:Z60)</f>
        <v>7402</v>
      </c>
      <c r="AB60" s="61">
        <v>2024</v>
      </c>
      <c r="AC60" s="33"/>
      <c r="AD60" s="74"/>
      <c r="AE60" s="74"/>
    </row>
    <row r="61" spans="1:34" s="54" customFormat="1" ht="47.25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51" t="s">
        <v>86</v>
      </c>
      <c r="S61" s="41" t="s">
        <v>38</v>
      </c>
      <c r="T61" s="44">
        <v>4</v>
      </c>
      <c r="U61" s="44">
        <v>4</v>
      </c>
      <c r="V61" s="44">
        <v>4</v>
      </c>
      <c r="W61" s="44">
        <v>4</v>
      </c>
      <c r="X61" s="44">
        <v>4</v>
      </c>
      <c r="Y61" s="44">
        <v>4</v>
      </c>
      <c r="Z61" s="44">
        <v>4</v>
      </c>
      <c r="AA61" s="52">
        <v>4</v>
      </c>
      <c r="AB61" s="41">
        <v>2024</v>
      </c>
      <c r="AC61" s="131"/>
      <c r="AD61" s="116"/>
      <c r="AE61" s="110"/>
    </row>
    <row r="62" spans="1:34" s="75" customFormat="1" ht="31.5" x14ac:dyDescent="0.25">
      <c r="A62" s="57" t="s">
        <v>18</v>
      </c>
      <c r="B62" s="57" t="s">
        <v>18</v>
      </c>
      <c r="C62" s="57" t="s">
        <v>21</v>
      </c>
      <c r="D62" s="57" t="s">
        <v>18</v>
      </c>
      <c r="E62" s="57" t="s">
        <v>21</v>
      </c>
      <c r="F62" s="57" t="s">
        <v>18</v>
      </c>
      <c r="G62" s="57" t="s">
        <v>22</v>
      </c>
      <c r="H62" s="57" t="s">
        <v>19</v>
      </c>
      <c r="I62" s="57" t="s">
        <v>24</v>
      </c>
      <c r="J62" s="57" t="s">
        <v>18</v>
      </c>
      <c r="K62" s="57" t="s">
        <v>18</v>
      </c>
      <c r="L62" s="57" t="s">
        <v>19</v>
      </c>
      <c r="M62" s="57" t="s">
        <v>18</v>
      </c>
      <c r="N62" s="57" t="s">
        <v>18</v>
      </c>
      <c r="O62" s="57" t="s">
        <v>18</v>
      </c>
      <c r="P62" s="57" t="s">
        <v>18</v>
      </c>
      <c r="Q62" s="57" t="s">
        <v>18</v>
      </c>
      <c r="R62" s="72" t="s">
        <v>85</v>
      </c>
      <c r="S62" s="58" t="s">
        <v>0</v>
      </c>
      <c r="T62" s="1">
        <f>962.3-96.3-88.8</f>
        <v>777.2</v>
      </c>
      <c r="U62" s="1">
        <f>800-392-1.6</f>
        <v>406.4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2">
        <f>SUM(T62:Z62)</f>
        <v>5183.6000000000004</v>
      </c>
      <c r="AB62" s="61">
        <v>2024</v>
      </c>
      <c r="AC62" s="124"/>
    </row>
    <row r="63" spans="1:34" s="75" customFormat="1" ht="48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51" t="s">
        <v>87</v>
      </c>
      <c r="S63" s="41" t="s">
        <v>38</v>
      </c>
      <c r="T63" s="44">
        <v>2</v>
      </c>
      <c r="U63" s="44">
        <v>2</v>
      </c>
      <c r="V63" s="44">
        <v>2</v>
      </c>
      <c r="W63" s="44">
        <v>2</v>
      </c>
      <c r="X63" s="44">
        <v>2</v>
      </c>
      <c r="Y63" s="44">
        <v>2</v>
      </c>
      <c r="Z63" s="44">
        <v>2</v>
      </c>
      <c r="AA63" s="52">
        <v>2</v>
      </c>
      <c r="AB63" s="41">
        <v>2024</v>
      </c>
      <c r="AC63" s="33"/>
    </row>
    <row r="64" spans="1:34" s="54" customFormat="1" ht="47.25" hidden="1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7" t="s">
        <v>88</v>
      </c>
      <c r="S64" s="68" t="s">
        <v>8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70">
        <f>T64+U64+V64+W64+X64+Y64</f>
        <v>0</v>
      </c>
      <c r="AB64" s="23">
        <v>2023</v>
      </c>
      <c r="AC64" s="131"/>
      <c r="AD64" s="105"/>
      <c r="AE64" s="108"/>
    </row>
    <row r="65" spans="1:34" s="75" customFormat="1" ht="31.5" x14ac:dyDescent="0.25">
      <c r="A65" s="57" t="s">
        <v>18</v>
      </c>
      <c r="B65" s="57" t="s">
        <v>18</v>
      </c>
      <c r="C65" s="57" t="s">
        <v>25</v>
      </c>
      <c r="D65" s="57" t="s">
        <v>18</v>
      </c>
      <c r="E65" s="57" t="s">
        <v>21</v>
      </c>
      <c r="F65" s="57" t="s">
        <v>18</v>
      </c>
      <c r="G65" s="57" t="s">
        <v>22</v>
      </c>
      <c r="H65" s="57" t="s">
        <v>19</v>
      </c>
      <c r="I65" s="57" t="s">
        <v>24</v>
      </c>
      <c r="J65" s="57" t="s">
        <v>18</v>
      </c>
      <c r="K65" s="57" t="s">
        <v>18</v>
      </c>
      <c r="L65" s="57" t="s">
        <v>19</v>
      </c>
      <c r="M65" s="57" t="s">
        <v>18</v>
      </c>
      <c r="N65" s="57" t="s">
        <v>18</v>
      </c>
      <c r="O65" s="57" t="s">
        <v>18</v>
      </c>
      <c r="P65" s="57" t="s">
        <v>18</v>
      </c>
      <c r="Q65" s="57" t="s">
        <v>18</v>
      </c>
      <c r="R65" s="72" t="s">
        <v>89</v>
      </c>
      <c r="S65" s="58" t="s">
        <v>0</v>
      </c>
      <c r="T65" s="1">
        <f>646.8+300+1489-55+86.2-453.6</f>
        <v>2013.4</v>
      </c>
      <c r="U65" s="1">
        <f>600+369.3+0.6+20-270.2</f>
        <v>719.7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2">
        <f>SUM(T65:Z65)</f>
        <v>5733.1</v>
      </c>
      <c r="AB65" s="61">
        <v>2024</v>
      </c>
      <c r="AC65" s="124"/>
    </row>
    <row r="66" spans="1:34" s="75" customFormat="1" ht="47.25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51" t="s">
        <v>90</v>
      </c>
      <c r="S66" s="41" t="s">
        <v>38</v>
      </c>
      <c r="T66" s="44">
        <v>1</v>
      </c>
      <c r="U66" s="44">
        <v>1</v>
      </c>
      <c r="V66" s="44">
        <v>1</v>
      </c>
      <c r="W66" s="44">
        <v>1</v>
      </c>
      <c r="X66" s="44">
        <v>1</v>
      </c>
      <c r="Y66" s="44">
        <v>1</v>
      </c>
      <c r="Z66" s="44">
        <v>1</v>
      </c>
      <c r="AA66" s="52">
        <v>1</v>
      </c>
      <c r="AB66" s="41">
        <v>2024</v>
      </c>
      <c r="AC66" s="33"/>
    </row>
    <row r="67" spans="1:34" s="75" customFormat="1" ht="31.5" x14ac:dyDescent="0.25">
      <c r="A67" s="57"/>
      <c r="B67" s="57"/>
      <c r="C67" s="57"/>
      <c r="D67" s="57" t="s">
        <v>18</v>
      </c>
      <c r="E67" s="57" t="s">
        <v>21</v>
      </c>
      <c r="F67" s="57" t="s">
        <v>18</v>
      </c>
      <c r="G67" s="57" t="s">
        <v>22</v>
      </c>
      <c r="H67" s="57" t="s">
        <v>19</v>
      </c>
      <c r="I67" s="57" t="s">
        <v>24</v>
      </c>
      <c r="J67" s="57" t="s">
        <v>18</v>
      </c>
      <c r="K67" s="57" t="s">
        <v>18</v>
      </c>
      <c r="L67" s="57" t="s">
        <v>19</v>
      </c>
      <c r="M67" s="57" t="s">
        <v>18</v>
      </c>
      <c r="N67" s="57" t="s">
        <v>18</v>
      </c>
      <c r="O67" s="57" t="s">
        <v>18</v>
      </c>
      <c r="P67" s="57" t="s">
        <v>18</v>
      </c>
      <c r="Q67" s="57" t="s">
        <v>18</v>
      </c>
      <c r="R67" s="71" t="s">
        <v>91</v>
      </c>
      <c r="S67" s="61" t="s">
        <v>0</v>
      </c>
      <c r="T67" s="62">
        <f t="shared" ref="T67:Y67" si="28">T69+T71+T78</f>
        <v>3922.5999999999995</v>
      </c>
      <c r="U67" s="62">
        <f t="shared" si="28"/>
        <v>4901.3</v>
      </c>
      <c r="V67" s="62">
        <f>V69+V71+V78</f>
        <v>8009.6</v>
      </c>
      <c r="W67" s="62">
        <f t="shared" si="28"/>
        <v>6362.6</v>
      </c>
      <c r="X67" s="62">
        <f t="shared" si="28"/>
        <v>6362.6</v>
      </c>
      <c r="Y67" s="62">
        <f t="shared" si="28"/>
        <v>6362.6</v>
      </c>
      <c r="Z67" s="62">
        <f t="shared" ref="Z67" si="29">Z69+Z71+Z78</f>
        <v>6362.6</v>
      </c>
      <c r="AA67" s="62">
        <f>SUM(T67:Z67)</f>
        <v>42283.899999999994</v>
      </c>
      <c r="AB67" s="61">
        <v>2024</v>
      </c>
      <c r="AC67" s="124"/>
    </row>
    <row r="68" spans="1:34" s="54" customFormat="1" ht="31.1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64" t="s">
        <v>92</v>
      </c>
      <c r="S68" s="146" t="s">
        <v>38</v>
      </c>
      <c r="T68" s="2">
        <f t="shared" ref="T68:Y68" si="30">T70+T77+T82</f>
        <v>20</v>
      </c>
      <c r="U68" s="2">
        <f t="shared" si="30"/>
        <v>20</v>
      </c>
      <c r="V68" s="2">
        <f t="shared" si="30"/>
        <v>20</v>
      </c>
      <c r="W68" s="2">
        <f t="shared" si="30"/>
        <v>20</v>
      </c>
      <c r="X68" s="2">
        <f t="shared" si="30"/>
        <v>20</v>
      </c>
      <c r="Y68" s="2">
        <f t="shared" si="30"/>
        <v>20</v>
      </c>
      <c r="Z68" s="2">
        <f t="shared" ref="Z68" si="31">Z70+Z77+Z82</f>
        <v>20</v>
      </c>
      <c r="AA68" s="52">
        <v>20</v>
      </c>
      <c r="AB68" s="41">
        <v>2024</v>
      </c>
      <c r="AC68" s="33"/>
    </row>
    <row r="69" spans="1:34" s="75" customFormat="1" ht="31.5" x14ac:dyDescent="0.25">
      <c r="A69" s="57" t="s">
        <v>18</v>
      </c>
      <c r="B69" s="57" t="s">
        <v>18</v>
      </c>
      <c r="C69" s="57" t="s">
        <v>22</v>
      </c>
      <c r="D69" s="57" t="s">
        <v>18</v>
      </c>
      <c r="E69" s="57" t="s">
        <v>21</v>
      </c>
      <c r="F69" s="57" t="s">
        <v>18</v>
      </c>
      <c r="G69" s="57" t="s">
        <v>22</v>
      </c>
      <c r="H69" s="57" t="s">
        <v>19</v>
      </c>
      <c r="I69" s="57" t="s">
        <v>24</v>
      </c>
      <c r="J69" s="57" t="s">
        <v>18</v>
      </c>
      <c r="K69" s="57" t="s">
        <v>18</v>
      </c>
      <c r="L69" s="57" t="s">
        <v>19</v>
      </c>
      <c r="M69" s="57" t="s">
        <v>18</v>
      </c>
      <c r="N69" s="57" t="s">
        <v>18</v>
      </c>
      <c r="O69" s="57" t="s">
        <v>18</v>
      </c>
      <c r="P69" s="57" t="s">
        <v>18</v>
      </c>
      <c r="Q69" s="57" t="s">
        <v>18</v>
      </c>
      <c r="R69" s="72" t="s">
        <v>93</v>
      </c>
      <c r="S69" s="58" t="s">
        <v>0</v>
      </c>
      <c r="T69" s="1">
        <f>2867.4-463.9-79-1000</f>
        <v>1324.5</v>
      </c>
      <c r="U69" s="1">
        <f>1867.4-227.9-273.9-31.9</f>
        <v>1333.6999999999998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2">
        <f>SUM(T69:Z69)</f>
        <v>11995.199999999999</v>
      </c>
      <c r="AB69" s="61">
        <v>2024</v>
      </c>
      <c r="AC69" s="123"/>
      <c r="AD69" s="112"/>
      <c r="AE69" s="112"/>
      <c r="AG69" s="113"/>
      <c r="AH69" s="112"/>
    </row>
    <row r="70" spans="1:34" s="54" customFormat="1" ht="47.25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51" t="s">
        <v>94</v>
      </c>
      <c r="S70" s="41" t="s">
        <v>38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2">
        <v>14</v>
      </c>
      <c r="AB70" s="41">
        <v>2024</v>
      </c>
      <c r="AC70" s="33"/>
    </row>
    <row r="71" spans="1:34" s="7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152" t="s">
        <v>93</v>
      </c>
      <c r="S71" s="58" t="s">
        <v>0</v>
      </c>
      <c r="T71" s="1">
        <f>SUM(T72:T76)</f>
        <v>501.8</v>
      </c>
      <c r="U71" s="1">
        <f t="shared" ref="U71:Z71" si="32">SUM(U72:U76)</f>
        <v>1483.3</v>
      </c>
      <c r="V71" s="1">
        <f t="shared" si="32"/>
        <v>1970.5</v>
      </c>
      <c r="W71" s="1">
        <f t="shared" si="32"/>
        <v>870.5</v>
      </c>
      <c r="X71" s="1">
        <f t="shared" si="32"/>
        <v>870.5</v>
      </c>
      <c r="Y71" s="1">
        <f t="shared" si="32"/>
        <v>870.5</v>
      </c>
      <c r="Z71" s="1">
        <f t="shared" si="32"/>
        <v>870.5</v>
      </c>
      <c r="AA71" s="62">
        <f>SUM(T71:Z71)</f>
        <v>7437.6</v>
      </c>
      <c r="AB71" s="61">
        <v>2024</v>
      </c>
      <c r="AC71" s="124"/>
    </row>
    <row r="72" spans="1:34" s="75" customFormat="1" x14ac:dyDescent="0.25">
      <c r="A72" s="57" t="s">
        <v>18</v>
      </c>
      <c r="B72" s="57" t="s">
        <v>18</v>
      </c>
      <c r="C72" s="57" t="s">
        <v>24</v>
      </c>
      <c r="D72" s="57" t="s">
        <v>18</v>
      </c>
      <c r="E72" s="57" t="s">
        <v>21</v>
      </c>
      <c r="F72" s="57" t="s">
        <v>18</v>
      </c>
      <c r="G72" s="57" t="s">
        <v>22</v>
      </c>
      <c r="H72" s="57" t="s">
        <v>19</v>
      </c>
      <c r="I72" s="57" t="s">
        <v>24</v>
      </c>
      <c r="J72" s="57" t="s">
        <v>18</v>
      </c>
      <c r="K72" s="57" t="s">
        <v>18</v>
      </c>
      <c r="L72" s="57" t="s">
        <v>19</v>
      </c>
      <c r="M72" s="57" t="s">
        <v>19</v>
      </c>
      <c r="N72" s="57" t="s">
        <v>18</v>
      </c>
      <c r="O72" s="57" t="s">
        <v>20</v>
      </c>
      <c r="P72" s="57" t="s">
        <v>183</v>
      </c>
      <c r="Q72" s="57" t="s">
        <v>18</v>
      </c>
      <c r="R72" s="152"/>
      <c r="S72" s="58" t="s">
        <v>0</v>
      </c>
      <c r="T72" s="1">
        <v>0</v>
      </c>
      <c r="U72" s="1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2">
        <f t="shared" ref="AA72:AA76" si="33">SUM(T72:Z72)</f>
        <v>685.2</v>
      </c>
      <c r="AB72" s="61">
        <v>2019</v>
      </c>
      <c r="AC72" s="124"/>
    </row>
    <row r="73" spans="1:34" s="75" customFormat="1" x14ac:dyDescent="0.25">
      <c r="A73" s="57" t="s">
        <v>18</v>
      </c>
      <c r="B73" s="57" t="s">
        <v>18</v>
      </c>
      <c r="C73" s="57" t="s">
        <v>24</v>
      </c>
      <c r="D73" s="57" t="s">
        <v>18</v>
      </c>
      <c r="E73" s="57" t="s">
        <v>21</v>
      </c>
      <c r="F73" s="57" t="s">
        <v>18</v>
      </c>
      <c r="G73" s="57" t="s">
        <v>22</v>
      </c>
      <c r="H73" s="57" t="s">
        <v>19</v>
      </c>
      <c r="I73" s="57" t="s">
        <v>24</v>
      </c>
      <c r="J73" s="57" t="s">
        <v>18</v>
      </c>
      <c r="K73" s="57" t="s">
        <v>18</v>
      </c>
      <c r="L73" s="57" t="s">
        <v>19</v>
      </c>
      <c r="M73" s="57" t="s">
        <v>37</v>
      </c>
      <c r="N73" s="57" t="s">
        <v>18</v>
      </c>
      <c r="O73" s="57" t="s">
        <v>20</v>
      </c>
      <c r="P73" s="57" t="s">
        <v>183</v>
      </c>
      <c r="Q73" s="57" t="s">
        <v>18</v>
      </c>
      <c r="R73" s="152"/>
      <c r="S73" s="58" t="s">
        <v>0</v>
      </c>
      <c r="T73" s="1">
        <v>0</v>
      </c>
      <c r="U73" s="1">
        <f>685.2-212.4</f>
        <v>472.80000000000007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2">
        <f t="shared" si="33"/>
        <v>472.80000000000007</v>
      </c>
      <c r="AB73" s="61">
        <v>2019</v>
      </c>
      <c r="AC73" s="124"/>
    </row>
    <row r="74" spans="1:34" s="75" customFormat="1" x14ac:dyDescent="0.25">
      <c r="A74" s="57" t="s">
        <v>18</v>
      </c>
      <c r="B74" s="57" t="s">
        <v>18</v>
      </c>
      <c r="C74" s="57" t="s">
        <v>24</v>
      </c>
      <c r="D74" s="57" t="s">
        <v>18</v>
      </c>
      <c r="E74" s="57" t="s">
        <v>21</v>
      </c>
      <c r="F74" s="57" t="s">
        <v>18</v>
      </c>
      <c r="G74" s="57" t="s">
        <v>22</v>
      </c>
      <c r="H74" s="57" t="s">
        <v>19</v>
      </c>
      <c r="I74" s="57" t="s">
        <v>24</v>
      </c>
      <c r="J74" s="57" t="s">
        <v>18</v>
      </c>
      <c r="K74" s="57" t="s">
        <v>18</v>
      </c>
      <c r="L74" s="57" t="s">
        <v>19</v>
      </c>
      <c r="M74" s="57" t="s">
        <v>19</v>
      </c>
      <c r="N74" s="57" t="s">
        <v>18</v>
      </c>
      <c r="O74" s="57" t="s">
        <v>23</v>
      </c>
      <c r="P74" s="57" t="s">
        <v>19</v>
      </c>
      <c r="Q74" s="57" t="s">
        <v>19</v>
      </c>
      <c r="R74" s="152"/>
      <c r="S74" s="58" t="s">
        <v>0</v>
      </c>
      <c r="T74" s="1">
        <v>0</v>
      </c>
      <c r="U74" s="1">
        <v>0</v>
      </c>
      <c r="V74" s="1">
        <v>1100</v>
      </c>
      <c r="W74" s="1">
        <v>0</v>
      </c>
      <c r="X74" s="1">
        <v>0</v>
      </c>
      <c r="Y74" s="1">
        <v>0</v>
      </c>
      <c r="Z74" s="1">
        <v>0</v>
      </c>
      <c r="AA74" s="62">
        <f t="shared" si="33"/>
        <v>1100</v>
      </c>
      <c r="AB74" s="61">
        <v>2020</v>
      </c>
      <c r="AC74" s="124"/>
    </row>
    <row r="75" spans="1:34" s="75" customFormat="1" x14ac:dyDescent="0.25">
      <c r="A75" s="57" t="s">
        <v>18</v>
      </c>
      <c r="B75" s="57" t="s">
        <v>18</v>
      </c>
      <c r="C75" s="57" t="s">
        <v>24</v>
      </c>
      <c r="D75" s="57" t="s">
        <v>18</v>
      </c>
      <c r="E75" s="57" t="s">
        <v>21</v>
      </c>
      <c r="F75" s="57" t="s">
        <v>18</v>
      </c>
      <c r="G75" s="57" t="s">
        <v>22</v>
      </c>
      <c r="H75" s="57" t="s">
        <v>19</v>
      </c>
      <c r="I75" s="57" t="s">
        <v>24</v>
      </c>
      <c r="J75" s="57" t="s">
        <v>18</v>
      </c>
      <c r="K75" s="57" t="s">
        <v>18</v>
      </c>
      <c r="L75" s="57" t="s">
        <v>19</v>
      </c>
      <c r="M75" s="57" t="s">
        <v>37</v>
      </c>
      <c r="N75" s="57" t="s">
        <v>18</v>
      </c>
      <c r="O75" s="57" t="s">
        <v>23</v>
      </c>
      <c r="P75" s="57" t="s">
        <v>19</v>
      </c>
      <c r="Q75" s="57" t="s">
        <v>19</v>
      </c>
      <c r="R75" s="152"/>
      <c r="S75" s="58" t="s">
        <v>0</v>
      </c>
      <c r="T75" s="1">
        <v>0</v>
      </c>
      <c r="U75" s="1">
        <v>0</v>
      </c>
      <c r="V75" s="1">
        <f>149.5</f>
        <v>149.5</v>
      </c>
      <c r="W75" s="1">
        <v>0</v>
      </c>
      <c r="X75" s="1">
        <v>0</v>
      </c>
      <c r="Y75" s="1">
        <v>0</v>
      </c>
      <c r="Z75" s="1">
        <v>0</v>
      </c>
      <c r="AA75" s="62">
        <f t="shared" si="33"/>
        <v>149.5</v>
      </c>
      <c r="AB75" s="61">
        <v>2020</v>
      </c>
      <c r="AC75" s="124"/>
    </row>
    <row r="76" spans="1:34" s="75" customFormat="1" x14ac:dyDescent="0.25">
      <c r="A76" s="57" t="s">
        <v>18</v>
      </c>
      <c r="B76" s="57" t="s">
        <v>18</v>
      </c>
      <c r="C76" s="57" t="s">
        <v>24</v>
      </c>
      <c r="D76" s="57" t="s">
        <v>18</v>
      </c>
      <c r="E76" s="57" t="s">
        <v>21</v>
      </c>
      <c r="F76" s="57" t="s">
        <v>18</v>
      </c>
      <c r="G76" s="57" t="s">
        <v>22</v>
      </c>
      <c r="H76" s="57" t="s">
        <v>19</v>
      </c>
      <c r="I76" s="57" t="s">
        <v>24</v>
      </c>
      <c r="J76" s="57" t="s">
        <v>18</v>
      </c>
      <c r="K76" s="57" t="s">
        <v>18</v>
      </c>
      <c r="L76" s="57" t="s">
        <v>19</v>
      </c>
      <c r="M76" s="57" t="s">
        <v>18</v>
      </c>
      <c r="N76" s="57" t="s">
        <v>18</v>
      </c>
      <c r="O76" s="57" t="s">
        <v>18</v>
      </c>
      <c r="P76" s="57" t="s">
        <v>18</v>
      </c>
      <c r="Q76" s="57" t="s">
        <v>18</v>
      </c>
      <c r="R76" s="152"/>
      <c r="S76" s="58" t="s">
        <v>0</v>
      </c>
      <c r="T76" s="1">
        <v>501.8</v>
      </c>
      <c r="U76" s="1">
        <v>325.3</v>
      </c>
      <c r="V76" s="1">
        <f>870.5-149.5</f>
        <v>721</v>
      </c>
      <c r="W76" s="1">
        <v>870.5</v>
      </c>
      <c r="X76" s="1">
        <v>870.5</v>
      </c>
      <c r="Y76" s="1">
        <v>870.5</v>
      </c>
      <c r="Z76" s="1">
        <v>870.5</v>
      </c>
      <c r="AA76" s="62">
        <f t="shared" si="33"/>
        <v>5030.1000000000004</v>
      </c>
      <c r="AB76" s="61">
        <v>2024</v>
      </c>
      <c r="AC76" s="124"/>
    </row>
    <row r="77" spans="1:34" s="54" customFormat="1" ht="48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51" t="s">
        <v>95</v>
      </c>
      <c r="S77" s="41" t="s">
        <v>38</v>
      </c>
      <c r="T77" s="2">
        <v>1</v>
      </c>
      <c r="U77" s="2">
        <v>1</v>
      </c>
      <c r="V77" s="44">
        <v>1</v>
      </c>
      <c r="W77" s="2">
        <v>1</v>
      </c>
      <c r="X77" s="2">
        <v>1</v>
      </c>
      <c r="Y77" s="2">
        <v>1</v>
      </c>
      <c r="Z77" s="2">
        <v>1</v>
      </c>
      <c r="AA77" s="45">
        <v>1</v>
      </c>
      <c r="AB77" s="41">
        <v>2024</v>
      </c>
      <c r="AC77" s="131"/>
      <c r="AD77" s="112"/>
      <c r="AE77" s="53"/>
    </row>
    <row r="78" spans="1:34" s="75" customForma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155" t="s">
        <v>96</v>
      </c>
      <c r="S78" s="58" t="s">
        <v>0</v>
      </c>
      <c r="T78" s="1">
        <f>T79+T80+T81</f>
        <v>2096.2999999999997</v>
      </c>
      <c r="U78" s="1">
        <f t="shared" ref="U78:Z78" si="34">U79+U80+U81</f>
        <v>2084.3000000000002</v>
      </c>
      <c r="V78" s="1">
        <f t="shared" si="34"/>
        <v>4171.7</v>
      </c>
      <c r="W78" s="1">
        <f t="shared" si="34"/>
        <v>3624.7</v>
      </c>
      <c r="X78" s="1">
        <f t="shared" si="34"/>
        <v>3624.7</v>
      </c>
      <c r="Y78" s="1">
        <f t="shared" si="34"/>
        <v>3624.7</v>
      </c>
      <c r="Z78" s="1">
        <f t="shared" si="34"/>
        <v>3624.7</v>
      </c>
      <c r="AA78" s="62">
        <f>SUM(T78:Z78)</f>
        <v>22851.100000000002</v>
      </c>
      <c r="AB78" s="61">
        <v>2024</v>
      </c>
      <c r="AC78" s="124"/>
    </row>
    <row r="79" spans="1:34" s="75" customFormat="1" x14ac:dyDescent="0.25">
      <c r="A79" s="57" t="s">
        <v>18</v>
      </c>
      <c r="B79" s="57" t="s">
        <v>18</v>
      </c>
      <c r="C79" s="57" t="s">
        <v>21</v>
      </c>
      <c r="D79" s="57" t="s">
        <v>18</v>
      </c>
      <c r="E79" s="57" t="s">
        <v>21</v>
      </c>
      <c r="F79" s="57" t="s">
        <v>18</v>
      </c>
      <c r="G79" s="57" t="s">
        <v>22</v>
      </c>
      <c r="H79" s="57" t="s">
        <v>19</v>
      </c>
      <c r="I79" s="57" t="s">
        <v>24</v>
      </c>
      <c r="J79" s="57" t="s">
        <v>18</v>
      </c>
      <c r="K79" s="57" t="s">
        <v>18</v>
      </c>
      <c r="L79" s="57" t="s">
        <v>19</v>
      </c>
      <c r="M79" s="57" t="s">
        <v>19</v>
      </c>
      <c r="N79" s="57" t="s">
        <v>18</v>
      </c>
      <c r="O79" s="57" t="s">
        <v>23</v>
      </c>
      <c r="P79" s="57" t="s">
        <v>19</v>
      </c>
      <c r="Q79" s="57" t="s">
        <v>20</v>
      </c>
      <c r="R79" s="156"/>
      <c r="S79" s="58" t="s">
        <v>0</v>
      </c>
      <c r="T79" s="1">
        <v>0</v>
      </c>
      <c r="U79" s="1">
        <v>0</v>
      </c>
      <c r="V79" s="1">
        <v>1100</v>
      </c>
      <c r="W79" s="1">
        <v>0</v>
      </c>
      <c r="X79" s="1">
        <v>0</v>
      </c>
      <c r="Y79" s="1">
        <v>0</v>
      </c>
      <c r="Z79" s="1">
        <v>0</v>
      </c>
      <c r="AA79" s="62">
        <f t="shared" ref="AA79:AA81" si="35">SUM(T79:Z79)</f>
        <v>1100</v>
      </c>
      <c r="AB79" s="61">
        <v>2020</v>
      </c>
      <c r="AC79" s="124"/>
    </row>
    <row r="80" spans="1:34" s="75" customFormat="1" x14ac:dyDescent="0.25">
      <c r="A80" s="57" t="s">
        <v>18</v>
      </c>
      <c r="B80" s="57" t="s">
        <v>18</v>
      </c>
      <c r="C80" s="57" t="s">
        <v>21</v>
      </c>
      <c r="D80" s="57" t="s">
        <v>18</v>
      </c>
      <c r="E80" s="57" t="s">
        <v>21</v>
      </c>
      <c r="F80" s="57" t="s">
        <v>18</v>
      </c>
      <c r="G80" s="57" t="s">
        <v>22</v>
      </c>
      <c r="H80" s="57" t="s">
        <v>19</v>
      </c>
      <c r="I80" s="57" t="s">
        <v>24</v>
      </c>
      <c r="J80" s="57" t="s">
        <v>18</v>
      </c>
      <c r="K80" s="57" t="s">
        <v>18</v>
      </c>
      <c r="L80" s="57" t="s">
        <v>19</v>
      </c>
      <c r="M80" s="57" t="s">
        <v>37</v>
      </c>
      <c r="N80" s="57" t="s">
        <v>18</v>
      </c>
      <c r="O80" s="57" t="s">
        <v>23</v>
      </c>
      <c r="P80" s="57" t="s">
        <v>19</v>
      </c>
      <c r="Q80" s="57" t="s">
        <v>20</v>
      </c>
      <c r="R80" s="156"/>
      <c r="S80" s="58" t="s">
        <v>0</v>
      </c>
      <c r="T80" s="1">
        <v>0</v>
      </c>
      <c r="U80" s="1">
        <v>0</v>
      </c>
      <c r="V80" s="1">
        <f>111</f>
        <v>111</v>
      </c>
      <c r="W80" s="1">
        <v>0</v>
      </c>
      <c r="X80" s="1">
        <v>0</v>
      </c>
      <c r="Y80" s="1">
        <v>0</v>
      </c>
      <c r="Z80" s="1">
        <v>0</v>
      </c>
      <c r="AA80" s="62">
        <f t="shared" si="35"/>
        <v>111</v>
      </c>
      <c r="AB80" s="61">
        <v>2020</v>
      </c>
      <c r="AC80" s="124"/>
    </row>
    <row r="81" spans="1:30" s="75" customFormat="1" x14ac:dyDescent="0.25">
      <c r="A81" s="57" t="s">
        <v>18</v>
      </c>
      <c r="B81" s="57" t="s">
        <v>18</v>
      </c>
      <c r="C81" s="57" t="s">
        <v>21</v>
      </c>
      <c r="D81" s="57" t="s">
        <v>18</v>
      </c>
      <c r="E81" s="57" t="s">
        <v>21</v>
      </c>
      <c r="F81" s="57" t="s">
        <v>18</v>
      </c>
      <c r="G81" s="57" t="s">
        <v>22</v>
      </c>
      <c r="H81" s="57" t="s">
        <v>19</v>
      </c>
      <c r="I81" s="57" t="s">
        <v>24</v>
      </c>
      <c r="J81" s="57" t="s">
        <v>18</v>
      </c>
      <c r="K81" s="57" t="s">
        <v>18</v>
      </c>
      <c r="L81" s="57" t="s">
        <v>19</v>
      </c>
      <c r="M81" s="57" t="s">
        <v>18</v>
      </c>
      <c r="N81" s="57" t="s">
        <v>18</v>
      </c>
      <c r="O81" s="57" t="s">
        <v>18</v>
      </c>
      <c r="P81" s="57" t="s">
        <v>18</v>
      </c>
      <c r="Q81" s="57" t="s">
        <v>18</v>
      </c>
      <c r="R81" s="157"/>
      <c r="S81" s="58" t="s">
        <v>0</v>
      </c>
      <c r="T81" s="1">
        <f>3665-832.4-710-26.3</f>
        <v>2096.2999999999997</v>
      </c>
      <c r="U81" s="1">
        <f>3624.7-120.3-282.1-1110.8-27.2</f>
        <v>2084.3000000000002</v>
      </c>
      <c r="V81" s="1">
        <f>3624.7-553-111</f>
        <v>2960.7</v>
      </c>
      <c r="W81" s="1">
        <v>3624.7</v>
      </c>
      <c r="X81" s="1">
        <v>3624.7</v>
      </c>
      <c r="Y81" s="1">
        <v>3624.7</v>
      </c>
      <c r="Z81" s="1">
        <v>3624.7</v>
      </c>
      <c r="AA81" s="62">
        <f t="shared" si="35"/>
        <v>21640.100000000002</v>
      </c>
      <c r="AB81" s="61">
        <v>2024</v>
      </c>
      <c r="AC81" s="124"/>
    </row>
    <row r="82" spans="1:30" s="75" customFormat="1" ht="48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51" t="s">
        <v>97</v>
      </c>
      <c r="S82" s="41" t="s">
        <v>38</v>
      </c>
      <c r="T82" s="44">
        <v>5</v>
      </c>
      <c r="U82" s="44">
        <v>5</v>
      </c>
      <c r="V82" s="44">
        <v>5</v>
      </c>
      <c r="W82" s="44">
        <v>5</v>
      </c>
      <c r="X82" s="44">
        <v>5</v>
      </c>
      <c r="Y82" s="44">
        <v>5</v>
      </c>
      <c r="Z82" s="44">
        <v>5</v>
      </c>
      <c r="AA82" s="52">
        <v>5</v>
      </c>
      <c r="AB82" s="41">
        <v>2024</v>
      </c>
      <c r="AC82" s="127"/>
      <c r="AD82" s="112"/>
    </row>
    <row r="83" spans="1:30" s="75" customFormat="1" ht="31.5" x14ac:dyDescent="0.25">
      <c r="A83" s="57"/>
      <c r="B83" s="57"/>
      <c r="C83" s="57"/>
      <c r="D83" s="57" t="s">
        <v>18</v>
      </c>
      <c r="E83" s="57" t="s">
        <v>21</v>
      </c>
      <c r="F83" s="57" t="s">
        <v>18</v>
      </c>
      <c r="G83" s="57" t="s">
        <v>22</v>
      </c>
      <c r="H83" s="57" t="s">
        <v>19</v>
      </c>
      <c r="I83" s="57" t="s">
        <v>24</v>
      </c>
      <c r="J83" s="57" t="s">
        <v>18</v>
      </c>
      <c r="K83" s="57" t="s">
        <v>18</v>
      </c>
      <c r="L83" s="57" t="s">
        <v>19</v>
      </c>
      <c r="M83" s="57" t="s">
        <v>18</v>
      </c>
      <c r="N83" s="57" t="s">
        <v>18</v>
      </c>
      <c r="O83" s="57" t="s">
        <v>18</v>
      </c>
      <c r="P83" s="57" t="s">
        <v>18</v>
      </c>
      <c r="Q83" s="57" t="s">
        <v>18</v>
      </c>
      <c r="R83" s="71" t="s">
        <v>98</v>
      </c>
      <c r="S83" s="61" t="s">
        <v>0</v>
      </c>
      <c r="T83" s="62">
        <f t="shared" ref="T83:Y83" si="36">T87+T91+T95+T99+T103</f>
        <v>4566.3999999999996</v>
      </c>
      <c r="U83" s="62">
        <f>U87+U91+U95+U99+U103</f>
        <v>7525.4000000000005</v>
      </c>
      <c r="V83" s="62">
        <f t="shared" si="36"/>
        <v>8502.6</v>
      </c>
      <c r="W83" s="62">
        <f t="shared" si="36"/>
        <v>7800</v>
      </c>
      <c r="X83" s="62">
        <f t="shared" si="36"/>
        <v>7800</v>
      </c>
      <c r="Y83" s="62">
        <f t="shared" si="36"/>
        <v>7800</v>
      </c>
      <c r="Z83" s="62">
        <f t="shared" ref="Z83" si="37">Z87+Z91+Z95+Z99+Z103</f>
        <v>7800</v>
      </c>
      <c r="AA83" s="62">
        <f>SUM(T83:Z83)</f>
        <v>51794.400000000001</v>
      </c>
      <c r="AB83" s="61">
        <v>2024</v>
      </c>
      <c r="AC83" s="124"/>
    </row>
    <row r="84" spans="1:30" s="75" customFormat="1" ht="47.2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4" t="s">
        <v>99</v>
      </c>
      <c r="S84" s="146" t="s">
        <v>38</v>
      </c>
      <c r="T84" s="44">
        <f t="shared" ref="T84:Y85" si="38">T88+T92+T96+T100</f>
        <v>65</v>
      </c>
      <c r="U84" s="44">
        <f t="shared" si="38"/>
        <v>198</v>
      </c>
      <c r="V84" s="44">
        <f t="shared" si="38"/>
        <v>77</v>
      </c>
      <c r="W84" s="44">
        <f t="shared" si="38"/>
        <v>183</v>
      </c>
      <c r="X84" s="44">
        <f t="shared" si="38"/>
        <v>182</v>
      </c>
      <c r="Y84" s="44">
        <f t="shared" si="38"/>
        <v>182</v>
      </c>
      <c r="Z84" s="44">
        <f t="shared" ref="Z84" si="39">Z88+Z92+Z96+Z100</f>
        <v>182</v>
      </c>
      <c r="AA84" s="52">
        <f>SUM(T84:Z84)</f>
        <v>1069</v>
      </c>
      <c r="AB84" s="146">
        <v>2024</v>
      </c>
      <c r="AC84" s="33"/>
    </row>
    <row r="85" spans="1:30" s="75" customFormat="1" ht="31.5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64" t="s">
        <v>100</v>
      </c>
      <c r="S85" s="146" t="s">
        <v>38</v>
      </c>
      <c r="T85" s="44">
        <f t="shared" si="38"/>
        <v>16</v>
      </c>
      <c r="U85" s="44">
        <f t="shared" si="38"/>
        <v>16</v>
      </c>
      <c r="V85" s="44">
        <f t="shared" si="38"/>
        <v>17</v>
      </c>
      <c r="W85" s="44">
        <f t="shared" si="38"/>
        <v>17</v>
      </c>
      <c r="X85" s="44">
        <f t="shared" si="38"/>
        <v>17</v>
      </c>
      <c r="Y85" s="44">
        <f t="shared" si="38"/>
        <v>17</v>
      </c>
      <c r="Z85" s="44">
        <f t="shared" ref="Z85" si="40">Z89+Z93+Z97+Z101</f>
        <v>17</v>
      </c>
      <c r="AA85" s="52">
        <v>17</v>
      </c>
      <c r="AB85" s="146">
        <v>2024</v>
      </c>
      <c r="AC85" s="33"/>
    </row>
    <row r="86" spans="1:30" ht="46.9" customHeight="1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4" t="s">
        <v>335</v>
      </c>
      <c r="S86" s="146" t="s">
        <v>38</v>
      </c>
      <c r="T86" s="44">
        <f>T90+T94+T98+T104+T102</f>
        <v>25</v>
      </c>
      <c r="U86" s="44">
        <f>U90+U94+U98+U104+U102</f>
        <v>77</v>
      </c>
      <c r="V86" s="44">
        <f>V90+V94+V98+V104+V102</f>
        <v>97</v>
      </c>
      <c r="W86" s="44">
        <f t="shared" ref="W86:Y86" si="41">W90+W94+W98+W104+W102</f>
        <v>54</v>
      </c>
      <c r="X86" s="44">
        <f t="shared" si="41"/>
        <v>54</v>
      </c>
      <c r="Y86" s="44">
        <f t="shared" si="41"/>
        <v>54</v>
      </c>
      <c r="Z86" s="44">
        <f t="shared" ref="Z86" si="42">Z90+Z94+Z98+Z104+Z102</f>
        <v>54</v>
      </c>
      <c r="AA86" s="52">
        <f>SUM(T86:Z86)</f>
        <v>415</v>
      </c>
      <c r="AB86" s="146">
        <v>2024</v>
      </c>
      <c r="AC86" s="127"/>
      <c r="AD86" s="105"/>
    </row>
    <row r="87" spans="1:30" ht="31.5" x14ac:dyDescent="0.25">
      <c r="A87" s="57" t="s">
        <v>18</v>
      </c>
      <c r="B87" s="57" t="s">
        <v>18</v>
      </c>
      <c r="C87" s="57" t="s">
        <v>22</v>
      </c>
      <c r="D87" s="57" t="s">
        <v>18</v>
      </c>
      <c r="E87" s="57" t="s">
        <v>21</v>
      </c>
      <c r="F87" s="57" t="s">
        <v>18</v>
      </c>
      <c r="G87" s="57" t="s">
        <v>22</v>
      </c>
      <c r="H87" s="57" t="s">
        <v>19</v>
      </c>
      <c r="I87" s="57" t="s">
        <v>24</v>
      </c>
      <c r="J87" s="57" t="s">
        <v>18</v>
      </c>
      <c r="K87" s="57" t="s">
        <v>18</v>
      </c>
      <c r="L87" s="57" t="s">
        <v>19</v>
      </c>
      <c r="M87" s="57" t="s">
        <v>18</v>
      </c>
      <c r="N87" s="57" t="s">
        <v>18</v>
      </c>
      <c r="O87" s="57" t="s">
        <v>18</v>
      </c>
      <c r="P87" s="57" t="s">
        <v>18</v>
      </c>
      <c r="Q87" s="57" t="s">
        <v>18</v>
      </c>
      <c r="R87" s="72" t="s">
        <v>101</v>
      </c>
      <c r="S87" s="58" t="s">
        <v>0</v>
      </c>
      <c r="T87" s="1">
        <f>1780.9-223.4+140-15.2</f>
        <v>1682.3</v>
      </c>
      <c r="U87" s="1">
        <f>1650-73+745.2</f>
        <v>2322.1999999999998</v>
      </c>
      <c r="V87" s="1">
        <v>1650</v>
      </c>
      <c r="W87" s="1">
        <v>1650</v>
      </c>
      <c r="X87" s="1">
        <v>1650</v>
      </c>
      <c r="Y87" s="1">
        <v>1650</v>
      </c>
      <c r="Z87" s="1">
        <v>1650</v>
      </c>
      <c r="AA87" s="62">
        <f>SUM(T87:Z87)</f>
        <v>12254.5</v>
      </c>
      <c r="AB87" s="61">
        <v>2024</v>
      </c>
      <c r="AC87" s="124"/>
    </row>
    <row r="88" spans="1:30" ht="46.15" customHeight="1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4" t="s">
        <v>102</v>
      </c>
      <c r="S88" s="146" t="s">
        <v>38</v>
      </c>
      <c r="T88" s="2">
        <v>33</v>
      </c>
      <c r="U88" s="2">
        <v>38</v>
      </c>
      <c r="V88" s="2">
        <v>29</v>
      </c>
      <c r="W88" s="2">
        <v>33</v>
      </c>
      <c r="X88" s="2">
        <v>33</v>
      </c>
      <c r="Y88" s="2">
        <v>33</v>
      </c>
      <c r="Z88" s="2">
        <v>33</v>
      </c>
      <c r="AA88" s="52">
        <f>SUM(T88:Z88)</f>
        <v>232</v>
      </c>
      <c r="AB88" s="41">
        <v>2024</v>
      </c>
      <c r="AC88" s="33"/>
    </row>
    <row r="89" spans="1:30" ht="47.2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4" t="s">
        <v>103</v>
      </c>
      <c r="S89" s="146" t="s">
        <v>38</v>
      </c>
      <c r="T89" s="2">
        <v>4</v>
      </c>
      <c r="U89" s="2">
        <v>4</v>
      </c>
      <c r="V89" s="2">
        <v>4</v>
      </c>
      <c r="W89" s="2">
        <v>4</v>
      </c>
      <c r="X89" s="2">
        <v>4</v>
      </c>
      <c r="Y89" s="2">
        <v>4</v>
      </c>
      <c r="Z89" s="2">
        <v>4</v>
      </c>
      <c r="AA89" s="45">
        <v>4</v>
      </c>
      <c r="AB89" s="41">
        <v>2024</v>
      </c>
      <c r="AC89" s="33"/>
    </row>
    <row r="90" spans="1:30" ht="63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64" t="s">
        <v>336</v>
      </c>
      <c r="S90" s="146" t="s">
        <v>38</v>
      </c>
      <c r="T90" s="44">
        <v>0</v>
      </c>
      <c r="U90" s="44">
        <v>29</v>
      </c>
      <c r="V90" s="44">
        <v>25</v>
      </c>
      <c r="W90" s="44">
        <v>13</v>
      </c>
      <c r="X90" s="44">
        <v>13</v>
      </c>
      <c r="Y90" s="44">
        <v>13</v>
      </c>
      <c r="Z90" s="44">
        <v>13</v>
      </c>
      <c r="AA90" s="52">
        <f>SUM(T90:Z90)</f>
        <v>106</v>
      </c>
      <c r="AB90" s="41">
        <v>2024</v>
      </c>
      <c r="AC90" s="127"/>
      <c r="AD90" s="105"/>
    </row>
    <row r="91" spans="1:30" ht="31.5" x14ac:dyDescent="0.25">
      <c r="A91" s="57" t="s">
        <v>18</v>
      </c>
      <c r="B91" s="57" t="s">
        <v>18</v>
      </c>
      <c r="C91" s="57" t="s">
        <v>24</v>
      </c>
      <c r="D91" s="57" t="s">
        <v>18</v>
      </c>
      <c r="E91" s="57" t="s">
        <v>21</v>
      </c>
      <c r="F91" s="57" t="s">
        <v>18</v>
      </c>
      <c r="G91" s="57" t="s">
        <v>22</v>
      </c>
      <c r="H91" s="57" t="s">
        <v>19</v>
      </c>
      <c r="I91" s="57" t="s">
        <v>24</v>
      </c>
      <c r="J91" s="57" t="s">
        <v>18</v>
      </c>
      <c r="K91" s="57" t="s">
        <v>18</v>
      </c>
      <c r="L91" s="57" t="s">
        <v>19</v>
      </c>
      <c r="M91" s="57" t="s">
        <v>18</v>
      </c>
      <c r="N91" s="57" t="s">
        <v>18</v>
      </c>
      <c r="O91" s="57" t="s">
        <v>18</v>
      </c>
      <c r="P91" s="57" t="s">
        <v>18</v>
      </c>
      <c r="Q91" s="57" t="s">
        <v>18</v>
      </c>
      <c r="R91" s="72" t="s">
        <v>104</v>
      </c>
      <c r="S91" s="58" t="s">
        <v>0</v>
      </c>
      <c r="T91" s="1">
        <f>1051.4-28.4-48.1</f>
        <v>974.90000000000009</v>
      </c>
      <c r="U91" s="1">
        <f>1450-14.6</f>
        <v>1435.4</v>
      </c>
      <c r="V91" s="1">
        <v>1450</v>
      </c>
      <c r="W91" s="1">
        <v>1450</v>
      </c>
      <c r="X91" s="1">
        <v>1450</v>
      </c>
      <c r="Y91" s="1">
        <v>1450</v>
      </c>
      <c r="Z91" s="1">
        <v>1450</v>
      </c>
      <c r="AA91" s="62">
        <f>SUM(T91:Z91)</f>
        <v>9660.2999999999993</v>
      </c>
      <c r="AB91" s="61">
        <v>2024</v>
      </c>
      <c r="AC91" s="123"/>
      <c r="AD91" s="112"/>
    </row>
    <row r="92" spans="1:30" ht="48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4" t="s">
        <v>273</v>
      </c>
      <c r="S92" s="146" t="s">
        <v>38</v>
      </c>
      <c r="T92" s="44">
        <v>4</v>
      </c>
      <c r="U92" s="44">
        <v>58</v>
      </c>
      <c r="V92" s="44">
        <v>8</v>
      </c>
      <c r="W92" s="44">
        <v>8</v>
      </c>
      <c r="X92" s="44">
        <v>8</v>
      </c>
      <c r="Y92" s="44">
        <v>8</v>
      </c>
      <c r="Z92" s="44">
        <v>8</v>
      </c>
      <c r="AA92" s="52">
        <f>SUM(T92:Z92)</f>
        <v>102</v>
      </c>
      <c r="AB92" s="41">
        <v>2024</v>
      </c>
      <c r="AC92" s="33"/>
    </row>
    <row r="93" spans="1:30" s="8" customFormat="1" ht="47.25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4" t="s">
        <v>274</v>
      </c>
      <c r="S93" s="146" t="s">
        <v>38</v>
      </c>
      <c r="T93" s="44">
        <v>5</v>
      </c>
      <c r="U93" s="44">
        <v>5</v>
      </c>
      <c r="V93" s="44">
        <v>5</v>
      </c>
      <c r="W93" s="44">
        <v>5</v>
      </c>
      <c r="X93" s="44">
        <v>5</v>
      </c>
      <c r="Y93" s="44">
        <v>5</v>
      </c>
      <c r="Z93" s="44">
        <v>5</v>
      </c>
      <c r="AA93" s="52">
        <v>5</v>
      </c>
      <c r="AB93" s="41">
        <v>2024</v>
      </c>
      <c r="AC93" s="127"/>
      <c r="AD93" s="105"/>
    </row>
    <row r="94" spans="1:30" ht="63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4" t="s">
        <v>337</v>
      </c>
      <c r="S94" s="146" t="s">
        <v>38</v>
      </c>
      <c r="T94" s="44">
        <v>0</v>
      </c>
      <c r="U94" s="44">
        <v>16</v>
      </c>
      <c r="V94" s="44">
        <v>16</v>
      </c>
      <c r="W94" s="44">
        <v>16</v>
      </c>
      <c r="X94" s="44">
        <v>16</v>
      </c>
      <c r="Y94" s="44">
        <v>16</v>
      </c>
      <c r="Z94" s="44">
        <v>16</v>
      </c>
      <c r="AA94" s="52">
        <f>SUM(T94:Z94)</f>
        <v>96</v>
      </c>
      <c r="AB94" s="41">
        <v>2024</v>
      </c>
      <c r="AC94" s="127"/>
      <c r="AD94" s="105"/>
    </row>
    <row r="95" spans="1:30" ht="31.5" x14ac:dyDescent="0.25">
      <c r="A95" s="57" t="s">
        <v>18</v>
      </c>
      <c r="B95" s="57" t="s">
        <v>18</v>
      </c>
      <c r="C95" s="57" t="s">
        <v>21</v>
      </c>
      <c r="D95" s="57" t="s">
        <v>18</v>
      </c>
      <c r="E95" s="57" t="s">
        <v>21</v>
      </c>
      <c r="F95" s="57" t="s">
        <v>18</v>
      </c>
      <c r="G95" s="57" t="s">
        <v>22</v>
      </c>
      <c r="H95" s="57" t="s">
        <v>19</v>
      </c>
      <c r="I95" s="57" t="s">
        <v>24</v>
      </c>
      <c r="J95" s="57" t="s">
        <v>18</v>
      </c>
      <c r="K95" s="57" t="s">
        <v>18</v>
      </c>
      <c r="L95" s="57" t="s">
        <v>19</v>
      </c>
      <c r="M95" s="57" t="s">
        <v>18</v>
      </c>
      <c r="N95" s="57" t="s">
        <v>18</v>
      </c>
      <c r="O95" s="57" t="s">
        <v>18</v>
      </c>
      <c r="P95" s="57" t="s">
        <v>18</v>
      </c>
      <c r="Q95" s="57" t="s">
        <v>18</v>
      </c>
      <c r="R95" s="72" t="s">
        <v>104</v>
      </c>
      <c r="S95" s="58" t="s">
        <v>0</v>
      </c>
      <c r="T95" s="1">
        <f>1351.9-396.7-310.9-34</f>
        <v>610.30000000000007</v>
      </c>
      <c r="U95" s="1">
        <f>1750-198.6-29.9</f>
        <v>1521.5</v>
      </c>
      <c r="V95" s="1">
        <f>1749.6+553</f>
        <v>2302.6</v>
      </c>
      <c r="W95" s="1">
        <v>1750</v>
      </c>
      <c r="X95" s="1">
        <v>1750</v>
      </c>
      <c r="Y95" s="1">
        <v>1750</v>
      </c>
      <c r="Z95" s="1">
        <v>1750</v>
      </c>
      <c r="AA95" s="62">
        <f>SUM(T95:Z95)</f>
        <v>11434.4</v>
      </c>
      <c r="AB95" s="61">
        <v>2024</v>
      </c>
      <c r="AC95" s="123"/>
      <c r="AD95" s="105"/>
    </row>
    <row r="96" spans="1:30" ht="47.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4" t="s">
        <v>275</v>
      </c>
      <c r="S96" s="146" t="s">
        <v>38</v>
      </c>
      <c r="T96" s="2">
        <v>21</v>
      </c>
      <c r="U96" s="2">
        <v>95</v>
      </c>
      <c r="V96" s="2">
        <v>20</v>
      </c>
      <c r="W96" s="2">
        <v>20</v>
      </c>
      <c r="X96" s="2">
        <v>19</v>
      </c>
      <c r="Y96" s="2">
        <v>19</v>
      </c>
      <c r="Z96" s="2">
        <v>19</v>
      </c>
      <c r="AA96" s="52">
        <f>SUM(T96:Z96)</f>
        <v>213</v>
      </c>
      <c r="AB96" s="41">
        <v>2024</v>
      </c>
      <c r="AC96" s="127"/>
      <c r="AD96" s="105"/>
    </row>
    <row r="97" spans="1:31" ht="47.2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4" t="s">
        <v>276</v>
      </c>
      <c r="S97" s="146" t="s">
        <v>38</v>
      </c>
      <c r="T97" s="2">
        <v>4</v>
      </c>
      <c r="U97" s="2">
        <v>5</v>
      </c>
      <c r="V97" s="2">
        <v>5</v>
      </c>
      <c r="W97" s="2">
        <v>5</v>
      </c>
      <c r="X97" s="2">
        <v>5</v>
      </c>
      <c r="Y97" s="2">
        <v>5</v>
      </c>
      <c r="Z97" s="2">
        <v>5</v>
      </c>
      <c r="AA97" s="45">
        <v>5</v>
      </c>
      <c r="AB97" s="41">
        <v>2024</v>
      </c>
      <c r="AC97" s="131"/>
      <c r="AD97" s="105"/>
    </row>
    <row r="98" spans="1:31" ht="63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64" t="s">
        <v>338</v>
      </c>
      <c r="S98" s="146" t="s">
        <v>38</v>
      </c>
      <c r="T98" s="44">
        <v>0</v>
      </c>
      <c r="U98" s="44">
        <v>16</v>
      </c>
      <c r="V98" s="44">
        <v>27</v>
      </c>
      <c r="W98" s="44">
        <v>10</v>
      </c>
      <c r="X98" s="44">
        <v>10</v>
      </c>
      <c r="Y98" s="44">
        <v>10</v>
      </c>
      <c r="Z98" s="44">
        <v>10</v>
      </c>
      <c r="AA98" s="52">
        <f>SUM(T98:Z98)</f>
        <v>83</v>
      </c>
      <c r="AB98" s="41">
        <v>2024</v>
      </c>
      <c r="AC98" s="127"/>
      <c r="AD98" s="105"/>
    </row>
    <row r="99" spans="1:31" ht="31.5" x14ac:dyDescent="0.25">
      <c r="A99" s="57" t="s">
        <v>18</v>
      </c>
      <c r="B99" s="57" t="s">
        <v>18</v>
      </c>
      <c r="C99" s="57" t="s">
        <v>25</v>
      </c>
      <c r="D99" s="57" t="s">
        <v>18</v>
      </c>
      <c r="E99" s="57" t="s">
        <v>21</v>
      </c>
      <c r="F99" s="57" t="s">
        <v>18</v>
      </c>
      <c r="G99" s="57" t="s">
        <v>22</v>
      </c>
      <c r="H99" s="57" t="s">
        <v>19</v>
      </c>
      <c r="I99" s="57" t="s">
        <v>24</v>
      </c>
      <c r="J99" s="57" t="s">
        <v>18</v>
      </c>
      <c r="K99" s="57" t="s">
        <v>18</v>
      </c>
      <c r="L99" s="57" t="s">
        <v>19</v>
      </c>
      <c r="M99" s="57" t="s">
        <v>18</v>
      </c>
      <c r="N99" s="57" t="s">
        <v>18</v>
      </c>
      <c r="O99" s="57" t="s">
        <v>18</v>
      </c>
      <c r="P99" s="57" t="s">
        <v>18</v>
      </c>
      <c r="Q99" s="57" t="s">
        <v>18</v>
      </c>
      <c r="R99" s="72" t="s">
        <v>101</v>
      </c>
      <c r="S99" s="58" t="s">
        <v>0</v>
      </c>
      <c r="T99" s="1">
        <f>4141.3-300-1489-672.7-86.2-669.2</f>
        <v>924.2</v>
      </c>
      <c r="U99" s="1">
        <f>2950-369.3-0.6-50-20-366-142.8</f>
        <v>2001.3</v>
      </c>
      <c r="V99" s="1">
        <v>2950</v>
      </c>
      <c r="W99" s="1">
        <v>2950</v>
      </c>
      <c r="X99" s="1">
        <v>2950</v>
      </c>
      <c r="Y99" s="1">
        <v>2950</v>
      </c>
      <c r="Z99" s="1">
        <v>2950</v>
      </c>
      <c r="AA99" s="62">
        <f>SUM(T99:Z99)</f>
        <v>17675.5</v>
      </c>
      <c r="AB99" s="61">
        <v>2024</v>
      </c>
      <c r="AC99" s="124"/>
    </row>
    <row r="100" spans="1:31" ht="46.9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277</v>
      </c>
      <c r="S100" s="146" t="s">
        <v>38</v>
      </c>
      <c r="T100" s="44">
        <v>7</v>
      </c>
      <c r="U100" s="44">
        <v>7</v>
      </c>
      <c r="V100" s="44">
        <v>20</v>
      </c>
      <c r="W100" s="44">
        <v>122</v>
      </c>
      <c r="X100" s="44">
        <v>122</v>
      </c>
      <c r="Y100" s="44">
        <v>122</v>
      </c>
      <c r="Z100" s="44">
        <v>122</v>
      </c>
      <c r="AA100" s="52">
        <f>SUM(T100:Z100)</f>
        <v>522</v>
      </c>
      <c r="AB100" s="41">
        <v>2024</v>
      </c>
      <c r="AC100" s="33"/>
    </row>
    <row r="101" spans="1:31" ht="47.25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40" t="s">
        <v>278</v>
      </c>
      <c r="S101" s="41" t="s">
        <v>38</v>
      </c>
      <c r="T101" s="44">
        <v>3</v>
      </c>
      <c r="U101" s="44">
        <v>2</v>
      </c>
      <c r="V101" s="44">
        <v>3</v>
      </c>
      <c r="W101" s="44">
        <v>3</v>
      </c>
      <c r="X101" s="44">
        <v>3</v>
      </c>
      <c r="Y101" s="44">
        <v>3</v>
      </c>
      <c r="Z101" s="44">
        <v>3</v>
      </c>
      <c r="AA101" s="52">
        <v>3</v>
      </c>
      <c r="AB101" s="41">
        <v>2024</v>
      </c>
      <c r="AC101" s="127"/>
      <c r="AD101" s="105"/>
    </row>
    <row r="102" spans="1:31" ht="63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4" t="s">
        <v>339</v>
      </c>
      <c r="S102" s="146" t="s">
        <v>38</v>
      </c>
      <c r="T102" s="44">
        <v>0</v>
      </c>
      <c r="U102" s="44">
        <v>15</v>
      </c>
      <c r="V102" s="44">
        <v>13</v>
      </c>
      <c r="W102" s="44">
        <v>15</v>
      </c>
      <c r="X102" s="44">
        <v>15</v>
      </c>
      <c r="Y102" s="44">
        <v>15</v>
      </c>
      <c r="Z102" s="44">
        <v>15</v>
      </c>
      <c r="AA102" s="52">
        <f>SUM(T102:Z102)</f>
        <v>88</v>
      </c>
      <c r="AB102" s="41">
        <v>2024</v>
      </c>
      <c r="AC102" s="127"/>
      <c r="AD102" s="105"/>
    </row>
    <row r="103" spans="1:31" ht="31.5" x14ac:dyDescent="0.25">
      <c r="A103" s="57" t="s">
        <v>18</v>
      </c>
      <c r="B103" s="57" t="s">
        <v>19</v>
      </c>
      <c r="C103" s="57" t="s">
        <v>24</v>
      </c>
      <c r="D103" s="57" t="s">
        <v>18</v>
      </c>
      <c r="E103" s="57" t="s">
        <v>21</v>
      </c>
      <c r="F103" s="57" t="s">
        <v>18</v>
      </c>
      <c r="G103" s="57" t="s">
        <v>22</v>
      </c>
      <c r="H103" s="57" t="s">
        <v>19</v>
      </c>
      <c r="I103" s="57" t="s">
        <v>24</v>
      </c>
      <c r="J103" s="57" t="s">
        <v>18</v>
      </c>
      <c r="K103" s="57" t="s">
        <v>18</v>
      </c>
      <c r="L103" s="57" t="s">
        <v>19</v>
      </c>
      <c r="M103" s="57" t="s">
        <v>18</v>
      </c>
      <c r="N103" s="57" t="s">
        <v>18</v>
      </c>
      <c r="O103" s="57" t="s">
        <v>18</v>
      </c>
      <c r="P103" s="57" t="s">
        <v>18</v>
      </c>
      <c r="Q103" s="57" t="s">
        <v>18</v>
      </c>
      <c r="R103" s="72" t="s">
        <v>101</v>
      </c>
      <c r="S103" s="58" t="s">
        <v>0</v>
      </c>
      <c r="T103" s="1">
        <f>236-236+500-125.3</f>
        <v>374.7</v>
      </c>
      <c r="U103" s="1">
        <f>0+229+48-32</f>
        <v>245</v>
      </c>
      <c r="V103" s="1">
        <f>0+150</f>
        <v>150</v>
      </c>
      <c r="W103" s="1">
        <v>0</v>
      </c>
      <c r="X103" s="1">
        <v>0</v>
      </c>
      <c r="Y103" s="1">
        <v>0</v>
      </c>
      <c r="Z103" s="1">
        <v>0</v>
      </c>
      <c r="AA103" s="62">
        <f>SUM(T103:Z103)</f>
        <v>769.7</v>
      </c>
      <c r="AB103" s="61">
        <v>2019</v>
      </c>
      <c r="AC103" s="127"/>
      <c r="AD103" s="105"/>
    </row>
    <row r="104" spans="1:31" ht="48.6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64" t="s">
        <v>342</v>
      </c>
      <c r="S104" s="146" t="s">
        <v>38</v>
      </c>
      <c r="T104" s="44">
        <v>25</v>
      </c>
      <c r="U104" s="2">
        <v>1</v>
      </c>
      <c r="V104" s="2">
        <v>16</v>
      </c>
      <c r="W104" s="2">
        <v>0</v>
      </c>
      <c r="X104" s="2">
        <v>0</v>
      </c>
      <c r="Y104" s="2">
        <v>0</v>
      </c>
      <c r="Z104" s="2">
        <v>0</v>
      </c>
      <c r="AA104" s="45">
        <f>SUM(T104:Z104)</f>
        <v>42</v>
      </c>
      <c r="AB104" s="41">
        <v>2020</v>
      </c>
      <c r="AC104" s="127"/>
      <c r="AD104" s="105"/>
    </row>
    <row r="105" spans="1:31" ht="34.15" customHeight="1" x14ac:dyDescent="0.25">
      <c r="A105" s="57" t="s">
        <v>18</v>
      </c>
      <c r="B105" s="57" t="s">
        <v>19</v>
      </c>
      <c r="C105" s="57" t="s">
        <v>20</v>
      </c>
      <c r="D105" s="57" t="s">
        <v>18</v>
      </c>
      <c r="E105" s="57" t="s">
        <v>21</v>
      </c>
      <c r="F105" s="57" t="s">
        <v>18</v>
      </c>
      <c r="G105" s="57" t="s">
        <v>22</v>
      </c>
      <c r="H105" s="57" t="s">
        <v>19</v>
      </c>
      <c r="I105" s="57" t="s">
        <v>24</v>
      </c>
      <c r="J105" s="57" t="s">
        <v>18</v>
      </c>
      <c r="K105" s="57" t="s">
        <v>18</v>
      </c>
      <c r="L105" s="57" t="s">
        <v>19</v>
      </c>
      <c r="M105" s="57" t="s">
        <v>18</v>
      </c>
      <c r="N105" s="57" t="s">
        <v>18</v>
      </c>
      <c r="O105" s="57" t="s">
        <v>18</v>
      </c>
      <c r="P105" s="57" t="s">
        <v>18</v>
      </c>
      <c r="Q105" s="57" t="s">
        <v>18</v>
      </c>
      <c r="R105" s="144" t="s">
        <v>105</v>
      </c>
      <c r="S105" s="61" t="s">
        <v>0</v>
      </c>
      <c r="T105" s="62">
        <f>99204.4+25748.3-45-48-10</f>
        <v>124849.7</v>
      </c>
      <c r="U105" s="62">
        <f>98382.7+162290.6-3301.8</f>
        <v>257371.5</v>
      </c>
      <c r="V105" s="62">
        <f>180545.5-150-150</f>
        <v>180245.5</v>
      </c>
      <c r="W105" s="62">
        <v>112731.1</v>
      </c>
      <c r="X105" s="62">
        <v>112731.1</v>
      </c>
      <c r="Y105" s="62">
        <v>95888</v>
      </c>
      <c r="Z105" s="62">
        <v>95888</v>
      </c>
      <c r="AA105" s="62">
        <f>SUM(T105:Z105)</f>
        <v>979704.89999999991</v>
      </c>
      <c r="AB105" s="61">
        <v>2024</v>
      </c>
      <c r="AC105" s="123"/>
      <c r="AD105" s="105"/>
    </row>
    <row r="106" spans="1:31" ht="33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4" t="s">
        <v>106</v>
      </c>
      <c r="S106" s="146" t="s">
        <v>50</v>
      </c>
      <c r="T106" s="2">
        <v>21452</v>
      </c>
      <c r="U106" s="2">
        <v>21713</v>
      </c>
      <c r="V106" s="2">
        <v>21820</v>
      </c>
      <c r="W106" s="2">
        <v>21820</v>
      </c>
      <c r="X106" s="2">
        <v>21820</v>
      </c>
      <c r="Y106" s="2">
        <v>21820</v>
      </c>
      <c r="Z106" s="2">
        <v>21820</v>
      </c>
      <c r="AA106" s="52">
        <f>Y106</f>
        <v>21820</v>
      </c>
      <c r="AB106" s="41">
        <v>2024</v>
      </c>
      <c r="AC106" s="127"/>
      <c r="AD106" s="112"/>
      <c r="AE106" s="112"/>
    </row>
    <row r="107" spans="1:31" ht="46.9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4" t="s">
        <v>107</v>
      </c>
      <c r="S107" s="146" t="s">
        <v>9</v>
      </c>
      <c r="T107" s="3">
        <v>95</v>
      </c>
      <c r="U107" s="3">
        <v>95</v>
      </c>
      <c r="V107" s="3">
        <v>95</v>
      </c>
      <c r="W107" s="3">
        <v>95</v>
      </c>
      <c r="X107" s="3">
        <v>95</v>
      </c>
      <c r="Y107" s="3">
        <v>95</v>
      </c>
      <c r="Z107" s="3">
        <v>95</v>
      </c>
      <c r="AA107" s="5">
        <v>95</v>
      </c>
      <c r="AB107" s="41">
        <v>2024</v>
      </c>
      <c r="AC107" s="33"/>
    </row>
    <row r="108" spans="1:31" ht="36.6" customHeight="1" x14ac:dyDescent="0.25">
      <c r="A108" s="57"/>
      <c r="B108" s="57"/>
      <c r="C108" s="57"/>
      <c r="D108" s="57" t="s">
        <v>18</v>
      </c>
      <c r="E108" s="57" t="s">
        <v>21</v>
      </c>
      <c r="F108" s="57" t="s">
        <v>18</v>
      </c>
      <c r="G108" s="57" t="s">
        <v>22</v>
      </c>
      <c r="H108" s="57" t="s">
        <v>19</v>
      </c>
      <c r="I108" s="57" t="s">
        <v>24</v>
      </c>
      <c r="J108" s="57" t="s">
        <v>18</v>
      </c>
      <c r="K108" s="57" t="s">
        <v>18</v>
      </c>
      <c r="L108" s="57" t="s">
        <v>19</v>
      </c>
      <c r="M108" s="57" t="s">
        <v>18</v>
      </c>
      <c r="N108" s="57" t="s">
        <v>18</v>
      </c>
      <c r="O108" s="57" t="s">
        <v>18</v>
      </c>
      <c r="P108" s="57" t="s">
        <v>18</v>
      </c>
      <c r="Q108" s="57" t="s">
        <v>18</v>
      </c>
      <c r="R108" s="71" t="s">
        <v>108</v>
      </c>
      <c r="S108" s="61" t="s">
        <v>0</v>
      </c>
      <c r="T108" s="62">
        <f t="shared" ref="T108:Y109" si="43">T110+T112+T114+T116</f>
        <v>1880.0999999999997</v>
      </c>
      <c r="U108" s="62">
        <f t="shared" si="43"/>
        <v>1976</v>
      </c>
      <c r="V108" s="62">
        <f t="shared" si="43"/>
        <v>2698.2</v>
      </c>
      <c r="W108" s="62">
        <f t="shared" si="43"/>
        <v>2397.6999999999998</v>
      </c>
      <c r="X108" s="62">
        <f t="shared" si="43"/>
        <v>2397.6999999999998</v>
      </c>
      <c r="Y108" s="62">
        <f t="shared" si="43"/>
        <v>2397.6999999999998</v>
      </c>
      <c r="Z108" s="62">
        <f t="shared" ref="Z108" si="44">Z110+Z112+Z114+Z116</f>
        <v>2397.6999999999998</v>
      </c>
      <c r="AA108" s="62">
        <f t="shared" ref="AA108:AA117" si="45">SUM(T108:Z108)</f>
        <v>16145.100000000002</v>
      </c>
      <c r="AB108" s="61">
        <v>2024</v>
      </c>
      <c r="AC108" s="124"/>
    </row>
    <row r="109" spans="1:31" ht="47.25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40" t="s">
        <v>109</v>
      </c>
      <c r="S109" s="41" t="s">
        <v>38</v>
      </c>
      <c r="T109" s="44">
        <f t="shared" si="43"/>
        <v>61</v>
      </c>
      <c r="U109" s="44">
        <f t="shared" si="43"/>
        <v>147</v>
      </c>
      <c r="V109" s="44">
        <f t="shared" si="43"/>
        <v>116</v>
      </c>
      <c r="W109" s="44">
        <f t="shared" si="43"/>
        <v>84</v>
      </c>
      <c r="X109" s="44">
        <f t="shared" si="43"/>
        <v>84</v>
      </c>
      <c r="Y109" s="44">
        <f t="shared" si="43"/>
        <v>84</v>
      </c>
      <c r="Z109" s="44">
        <f t="shared" ref="Z109" si="46">Z111+Z113+Z115+Z117</f>
        <v>84</v>
      </c>
      <c r="AA109" s="52">
        <f t="shared" si="45"/>
        <v>660</v>
      </c>
      <c r="AB109" s="41">
        <v>2024</v>
      </c>
      <c r="AC109" s="127"/>
      <c r="AD109" s="105"/>
    </row>
    <row r="110" spans="1:31" ht="33.6" customHeight="1" x14ac:dyDescent="0.25">
      <c r="A110" s="57" t="s">
        <v>18</v>
      </c>
      <c r="B110" s="57" t="s">
        <v>18</v>
      </c>
      <c r="C110" s="57" t="s">
        <v>22</v>
      </c>
      <c r="D110" s="57" t="s">
        <v>18</v>
      </c>
      <c r="E110" s="57" t="s">
        <v>21</v>
      </c>
      <c r="F110" s="57" t="s">
        <v>18</v>
      </c>
      <c r="G110" s="57" t="s">
        <v>22</v>
      </c>
      <c r="H110" s="57" t="s">
        <v>19</v>
      </c>
      <c r="I110" s="57" t="s">
        <v>24</v>
      </c>
      <c r="J110" s="57" t="s">
        <v>18</v>
      </c>
      <c r="K110" s="57" t="s">
        <v>18</v>
      </c>
      <c r="L110" s="57" t="s">
        <v>19</v>
      </c>
      <c r="M110" s="57" t="s">
        <v>18</v>
      </c>
      <c r="N110" s="57" t="s">
        <v>18</v>
      </c>
      <c r="O110" s="57" t="s">
        <v>18</v>
      </c>
      <c r="P110" s="57" t="s">
        <v>18</v>
      </c>
      <c r="Q110" s="57" t="s">
        <v>18</v>
      </c>
      <c r="R110" s="72" t="s">
        <v>110</v>
      </c>
      <c r="S110" s="58" t="s">
        <v>0</v>
      </c>
      <c r="T110" s="1">
        <f>92-9.2+105.5-26.8</f>
        <v>161.5</v>
      </c>
      <c r="U110" s="1">
        <f>1092-122.4</f>
        <v>969.6</v>
      </c>
      <c r="V110" s="1">
        <v>1092</v>
      </c>
      <c r="W110" s="1">
        <v>1092</v>
      </c>
      <c r="X110" s="1">
        <v>1092</v>
      </c>
      <c r="Y110" s="1">
        <v>1092</v>
      </c>
      <c r="Z110" s="1">
        <v>1092</v>
      </c>
      <c r="AA110" s="62">
        <f t="shared" si="45"/>
        <v>6591.1</v>
      </c>
      <c r="AB110" s="61">
        <v>2024</v>
      </c>
      <c r="AC110" s="124"/>
    </row>
    <row r="111" spans="1:31" ht="47.25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77" t="s">
        <v>111</v>
      </c>
      <c r="S111" s="146" t="s">
        <v>38</v>
      </c>
      <c r="T111" s="44">
        <f>4+4</f>
        <v>8</v>
      </c>
      <c r="U111" s="44">
        <f>29+21</f>
        <v>50</v>
      </c>
      <c r="V111" s="44">
        <v>29</v>
      </c>
      <c r="W111" s="44">
        <v>29</v>
      </c>
      <c r="X111" s="44">
        <v>29</v>
      </c>
      <c r="Y111" s="44">
        <v>29</v>
      </c>
      <c r="Z111" s="44">
        <v>29</v>
      </c>
      <c r="AA111" s="52">
        <f t="shared" si="45"/>
        <v>203</v>
      </c>
      <c r="AB111" s="41">
        <v>2024</v>
      </c>
      <c r="AC111" s="131"/>
      <c r="AD111" s="112"/>
    </row>
    <row r="112" spans="1:31" ht="31.5" x14ac:dyDescent="0.25">
      <c r="A112" s="57" t="s">
        <v>18</v>
      </c>
      <c r="B112" s="57" t="s">
        <v>18</v>
      </c>
      <c r="C112" s="57" t="s">
        <v>24</v>
      </c>
      <c r="D112" s="57" t="s">
        <v>18</v>
      </c>
      <c r="E112" s="57" t="s">
        <v>21</v>
      </c>
      <c r="F112" s="57" t="s">
        <v>18</v>
      </c>
      <c r="G112" s="57" t="s">
        <v>22</v>
      </c>
      <c r="H112" s="57" t="s">
        <v>19</v>
      </c>
      <c r="I112" s="57" t="s">
        <v>24</v>
      </c>
      <c r="J112" s="57" t="s">
        <v>18</v>
      </c>
      <c r="K112" s="57" t="s">
        <v>18</v>
      </c>
      <c r="L112" s="57" t="s">
        <v>19</v>
      </c>
      <c r="M112" s="57" t="s">
        <v>18</v>
      </c>
      <c r="N112" s="57" t="s">
        <v>18</v>
      </c>
      <c r="O112" s="57" t="s">
        <v>18</v>
      </c>
      <c r="P112" s="57" t="s">
        <v>18</v>
      </c>
      <c r="Q112" s="57" t="s">
        <v>18</v>
      </c>
      <c r="R112" s="72" t="s">
        <v>110</v>
      </c>
      <c r="S112" s="58" t="s">
        <v>0</v>
      </c>
      <c r="T112" s="1">
        <f>1135.8-126-115.2-44.7</f>
        <v>849.89999999999986</v>
      </c>
      <c r="U112" s="1">
        <f>630.5-140-173</f>
        <v>317.5</v>
      </c>
      <c r="V112" s="1">
        <v>630.5</v>
      </c>
      <c r="W112" s="1">
        <v>630.5</v>
      </c>
      <c r="X112" s="1">
        <v>630.5</v>
      </c>
      <c r="Y112" s="1">
        <v>630.5</v>
      </c>
      <c r="Z112" s="1">
        <v>630.5</v>
      </c>
      <c r="AA112" s="62">
        <f t="shared" si="45"/>
        <v>4319.8999999999996</v>
      </c>
      <c r="AB112" s="61">
        <v>2024</v>
      </c>
      <c r="AC112" s="126"/>
      <c r="AD112" s="105"/>
    </row>
    <row r="113" spans="1:32" ht="47.25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64" t="s">
        <v>112</v>
      </c>
      <c r="S113" s="146" t="s">
        <v>38</v>
      </c>
      <c r="T113" s="44">
        <v>26</v>
      </c>
      <c r="U113" s="44">
        <v>62</v>
      </c>
      <c r="V113" s="44">
        <v>20</v>
      </c>
      <c r="W113" s="44">
        <v>20</v>
      </c>
      <c r="X113" s="44">
        <v>20</v>
      </c>
      <c r="Y113" s="44">
        <v>20</v>
      </c>
      <c r="Z113" s="44">
        <v>20</v>
      </c>
      <c r="AA113" s="52">
        <f t="shared" si="45"/>
        <v>188</v>
      </c>
      <c r="AB113" s="41">
        <v>2024</v>
      </c>
      <c r="AC113" s="127"/>
      <c r="AD113" s="105"/>
    </row>
    <row r="114" spans="1:32" ht="34.9" customHeight="1" x14ac:dyDescent="0.25">
      <c r="A114" s="57" t="s">
        <v>18</v>
      </c>
      <c r="B114" s="57" t="s">
        <v>18</v>
      </c>
      <c r="C114" s="57" t="s">
        <v>21</v>
      </c>
      <c r="D114" s="57" t="s">
        <v>18</v>
      </c>
      <c r="E114" s="57" t="s">
        <v>21</v>
      </c>
      <c r="F114" s="57" t="s">
        <v>18</v>
      </c>
      <c r="G114" s="57" t="s">
        <v>22</v>
      </c>
      <c r="H114" s="57" t="s">
        <v>19</v>
      </c>
      <c r="I114" s="57" t="s">
        <v>24</v>
      </c>
      <c r="J114" s="57" t="s">
        <v>18</v>
      </c>
      <c r="K114" s="57" t="s">
        <v>18</v>
      </c>
      <c r="L114" s="57" t="s">
        <v>19</v>
      </c>
      <c r="M114" s="57" t="s">
        <v>18</v>
      </c>
      <c r="N114" s="57" t="s">
        <v>18</v>
      </c>
      <c r="O114" s="57" t="s">
        <v>18</v>
      </c>
      <c r="P114" s="57" t="s">
        <v>18</v>
      </c>
      <c r="Q114" s="57" t="s">
        <v>18</v>
      </c>
      <c r="R114" s="72" t="s">
        <v>110</v>
      </c>
      <c r="S114" s="58" t="s">
        <v>0</v>
      </c>
      <c r="T114" s="1">
        <f>429.2+396.7-107.5</f>
        <v>718.4</v>
      </c>
      <c r="U114" s="1">
        <f>475.2-36.3</f>
        <v>438.9</v>
      </c>
      <c r="V114" s="1">
        <v>475.7</v>
      </c>
      <c r="W114" s="1">
        <v>475.2</v>
      </c>
      <c r="X114" s="1">
        <v>475.2</v>
      </c>
      <c r="Y114" s="1">
        <v>475.2</v>
      </c>
      <c r="Z114" s="1">
        <v>475.2</v>
      </c>
      <c r="AA114" s="62">
        <f t="shared" si="45"/>
        <v>3533.7999999999993</v>
      </c>
      <c r="AB114" s="61">
        <v>2024</v>
      </c>
      <c r="AC114" s="124"/>
    </row>
    <row r="115" spans="1:32" ht="47.25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 t="s">
        <v>113</v>
      </c>
      <c r="S115" s="41" t="s">
        <v>38</v>
      </c>
      <c r="T115" s="44">
        <v>17</v>
      </c>
      <c r="U115" s="44">
        <v>17</v>
      </c>
      <c r="V115" s="44">
        <v>17</v>
      </c>
      <c r="W115" s="44">
        <v>17</v>
      </c>
      <c r="X115" s="44">
        <v>17</v>
      </c>
      <c r="Y115" s="44">
        <v>17</v>
      </c>
      <c r="Z115" s="44">
        <v>17</v>
      </c>
      <c r="AA115" s="52">
        <f t="shared" si="45"/>
        <v>119</v>
      </c>
      <c r="AB115" s="41">
        <v>2024</v>
      </c>
      <c r="AC115" s="127"/>
      <c r="AD115" s="105"/>
    </row>
    <row r="116" spans="1:32" ht="33.6" customHeight="1" x14ac:dyDescent="0.25">
      <c r="A116" s="57" t="s">
        <v>18</v>
      </c>
      <c r="B116" s="57" t="s">
        <v>18</v>
      </c>
      <c r="C116" s="57" t="s">
        <v>25</v>
      </c>
      <c r="D116" s="57" t="s">
        <v>18</v>
      </c>
      <c r="E116" s="57" t="s">
        <v>21</v>
      </c>
      <c r="F116" s="57" t="s">
        <v>18</v>
      </c>
      <c r="G116" s="57" t="s">
        <v>22</v>
      </c>
      <c r="H116" s="57" t="s">
        <v>19</v>
      </c>
      <c r="I116" s="57" t="s">
        <v>24</v>
      </c>
      <c r="J116" s="57" t="s">
        <v>18</v>
      </c>
      <c r="K116" s="57" t="s">
        <v>18</v>
      </c>
      <c r="L116" s="57" t="s">
        <v>19</v>
      </c>
      <c r="M116" s="57" t="s">
        <v>18</v>
      </c>
      <c r="N116" s="57" t="s">
        <v>18</v>
      </c>
      <c r="O116" s="57" t="s">
        <v>18</v>
      </c>
      <c r="P116" s="57" t="s">
        <v>18</v>
      </c>
      <c r="Q116" s="57" t="s">
        <v>18</v>
      </c>
      <c r="R116" s="72" t="s">
        <v>114</v>
      </c>
      <c r="S116" s="58" t="s">
        <v>0</v>
      </c>
      <c r="T116" s="1">
        <f>153.3-3</f>
        <v>150.30000000000001</v>
      </c>
      <c r="U116" s="1">
        <f>200+50</f>
        <v>250</v>
      </c>
      <c r="V116" s="1">
        <v>500</v>
      </c>
      <c r="W116" s="1">
        <v>200</v>
      </c>
      <c r="X116" s="1">
        <v>200</v>
      </c>
      <c r="Y116" s="1">
        <v>200</v>
      </c>
      <c r="Z116" s="1">
        <v>200</v>
      </c>
      <c r="AA116" s="62">
        <f t="shared" si="45"/>
        <v>1700.3</v>
      </c>
      <c r="AB116" s="61">
        <v>2024</v>
      </c>
      <c r="AC116" s="33"/>
    </row>
    <row r="117" spans="1:32" ht="47.25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 t="s">
        <v>115</v>
      </c>
      <c r="S117" s="41" t="s">
        <v>38</v>
      </c>
      <c r="T117" s="44">
        <v>10</v>
      </c>
      <c r="U117" s="44">
        <v>18</v>
      </c>
      <c r="V117" s="44">
        <v>50</v>
      </c>
      <c r="W117" s="44">
        <v>18</v>
      </c>
      <c r="X117" s="44">
        <v>18</v>
      </c>
      <c r="Y117" s="44">
        <v>18</v>
      </c>
      <c r="Z117" s="44">
        <v>18</v>
      </c>
      <c r="AA117" s="52">
        <f t="shared" si="45"/>
        <v>150</v>
      </c>
      <c r="AB117" s="41">
        <v>2024</v>
      </c>
      <c r="AC117" s="33"/>
    </row>
    <row r="118" spans="1:32" ht="34.15" customHeight="1" x14ac:dyDescent="0.25">
      <c r="A118" s="57" t="s">
        <v>18</v>
      </c>
      <c r="B118" s="57" t="s">
        <v>19</v>
      </c>
      <c r="C118" s="57" t="s">
        <v>20</v>
      </c>
      <c r="D118" s="57" t="s">
        <v>18</v>
      </c>
      <c r="E118" s="57" t="s">
        <v>21</v>
      </c>
      <c r="F118" s="57" t="s">
        <v>18</v>
      </c>
      <c r="G118" s="57" t="s">
        <v>22</v>
      </c>
      <c r="H118" s="57" t="s">
        <v>19</v>
      </c>
      <c r="I118" s="57" t="s">
        <v>24</v>
      </c>
      <c r="J118" s="57" t="s">
        <v>18</v>
      </c>
      <c r="K118" s="57" t="s">
        <v>18</v>
      </c>
      <c r="L118" s="57" t="s">
        <v>19</v>
      </c>
      <c r="M118" s="57" t="s">
        <v>18</v>
      </c>
      <c r="N118" s="57" t="s">
        <v>18</v>
      </c>
      <c r="O118" s="57" t="s">
        <v>18</v>
      </c>
      <c r="P118" s="57" t="s">
        <v>18</v>
      </c>
      <c r="Q118" s="57" t="s">
        <v>18</v>
      </c>
      <c r="R118" s="144" t="s">
        <v>116</v>
      </c>
      <c r="S118" s="97" t="s">
        <v>0</v>
      </c>
      <c r="T118" s="62">
        <f>2300+20572-19997.4-439+45+48+203.1-4</f>
        <v>2727.6999999999985</v>
      </c>
      <c r="U118" s="62">
        <f>7300+715</f>
        <v>8015</v>
      </c>
      <c r="V118" s="62">
        <v>3500</v>
      </c>
      <c r="W118" s="62">
        <v>3500</v>
      </c>
      <c r="X118" s="62">
        <v>3500</v>
      </c>
      <c r="Y118" s="62">
        <v>3500</v>
      </c>
      <c r="Z118" s="62">
        <v>3500</v>
      </c>
      <c r="AA118" s="62">
        <f>SUM(T118:Z118)</f>
        <v>28242.699999999997</v>
      </c>
      <c r="AB118" s="61">
        <v>2024</v>
      </c>
      <c r="AC118" s="127"/>
      <c r="AD118" s="112"/>
      <c r="AE118" s="112"/>
      <c r="AF118" s="112"/>
    </row>
    <row r="119" spans="1:32" s="75" customFormat="1" ht="51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40" t="s">
        <v>117</v>
      </c>
      <c r="S119" s="41" t="s">
        <v>50</v>
      </c>
      <c r="T119" s="2">
        <v>8</v>
      </c>
      <c r="U119" s="2">
        <v>10</v>
      </c>
      <c r="V119" s="2">
        <v>10</v>
      </c>
      <c r="W119" s="2">
        <v>10</v>
      </c>
      <c r="X119" s="2">
        <v>10</v>
      </c>
      <c r="Y119" s="2">
        <v>10</v>
      </c>
      <c r="Z119" s="2">
        <v>10</v>
      </c>
      <c r="AA119" s="45">
        <v>10</v>
      </c>
      <c r="AB119" s="41">
        <v>2024</v>
      </c>
      <c r="AC119" s="33"/>
      <c r="AD119" s="105"/>
    </row>
    <row r="120" spans="1:32" ht="34.1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4" t="s">
        <v>118</v>
      </c>
      <c r="S120" s="146" t="s">
        <v>50</v>
      </c>
      <c r="T120" s="2">
        <v>0</v>
      </c>
      <c r="U120" s="2">
        <v>649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45">
        <f>SUM(T120:Z120)</f>
        <v>649</v>
      </c>
      <c r="AB120" s="146">
        <v>2019</v>
      </c>
      <c r="AC120" s="33"/>
      <c r="AD120" s="105"/>
    </row>
    <row r="121" spans="1:32" s="75" customFormat="1" ht="37.15" customHeight="1" x14ac:dyDescent="0.25">
      <c r="A121" s="57" t="s">
        <v>18</v>
      </c>
      <c r="B121" s="57" t="s">
        <v>19</v>
      </c>
      <c r="C121" s="57" t="s">
        <v>20</v>
      </c>
      <c r="D121" s="57" t="s">
        <v>18</v>
      </c>
      <c r="E121" s="57" t="s">
        <v>21</v>
      </c>
      <c r="F121" s="57" t="s">
        <v>18</v>
      </c>
      <c r="G121" s="57" t="s">
        <v>22</v>
      </c>
      <c r="H121" s="57" t="s">
        <v>19</v>
      </c>
      <c r="I121" s="57" t="s">
        <v>24</v>
      </c>
      <c r="J121" s="57" t="s">
        <v>18</v>
      </c>
      <c r="K121" s="57" t="s">
        <v>18</v>
      </c>
      <c r="L121" s="57" t="s">
        <v>19</v>
      </c>
      <c r="M121" s="57" t="s">
        <v>18</v>
      </c>
      <c r="N121" s="57" t="s">
        <v>18</v>
      </c>
      <c r="O121" s="57" t="s">
        <v>18</v>
      </c>
      <c r="P121" s="57" t="s">
        <v>18</v>
      </c>
      <c r="Q121" s="57" t="s">
        <v>18</v>
      </c>
      <c r="R121" s="145" t="s">
        <v>119</v>
      </c>
      <c r="S121" s="61" t="s">
        <v>0</v>
      </c>
      <c r="T121" s="62">
        <f>102300-550-5000-1550.7+43.1+12-12</f>
        <v>95242.400000000009</v>
      </c>
      <c r="U121" s="62">
        <f>83000-4000+50</f>
        <v>79050</v>
      </c>
      <c r="V121" s="62">
        <f>89143.1+50</f>
        <v>89193.1</v>
      </c>
      <c r="W121" s="62">
        <v>83000</v>
      </c>
      <c r="X121" s="62">
        <v>83000</v>
      </c>
      <c r="Y121" s="62">
        <v>83000</v>
      </c>
      <c r="Z121" s="62">
        <v>83000</v>
      </c>
      <c r="AA121" s="62">
        <f>SUM(T121:Z121)</f>
        <v>595485.5</v>
      </c>
      <c r="AB121" s="61">
        <v>2024</v>
      </c>
      <c r="AC121" s="33"/>
    </row>
    <row r="122" spans="1:32" s="75" customFormat="1" ht="31.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51" t="s">
        <v>120</v>
      </c>
      <c r="S122" s="41" t="s">
        <v>52</v>
      </c>
      <c r="T122" s="4">
        <v>3.7</v>
      </c>
      <c r="U122" s="4">
        <v>3.8</v>
      </c>
      <c r="V122" s="4">
        <v>3.7</v>
      </c>
      <c r="W122" s="4">
        <v>3.8</v>
      </c>
      <c r="X122" s="4">
        <v>3.8</v>
      </c>
      <c r="Y122" s="4">
        <v>3.8</v>
      </c>
      <c r="Z122" s="4">
        <v>3.8</v>
      </c>
      <c r="AA122" s="6">
        <v>3.8</v>
      </c>
      <c r="AB122" s="41">
        <v>2024</v>
      </c>
      <c r="AC122" s="33"/>
    </row>
    <row r="123" spans="1:32" ht="47.25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40" t="s">
        <v>121</v>
      </c>
      <c r="S123" s="41" t="s">
        <v>50</v>
      </c>
      <c r="T123" s="44">
        <v>87</v>
      </c>
      <c r="U123" s="44">
        <v>74</v>
      </c>
      <c r="V123" s="44">
        <v>70</v>
      </c>
      <c r="W123" s="44">
        <v>74</v>
      </c>
      <c r="X123" s="44">
        <v>74</v>
      </c>
      <c r="Y123" s="44">
        <v>74</v>
      </c>
      <c r="Z123" s="44">
        <v>74</v>
      </c>
      <c r="AA123" s="52">
        <v>74</v>
      </c>
      <c r="AB123" s="41">
        <v>2024</v>
      </c>
      <c r="AC123" s="127"/>
      <c r="AD123" s="105"/>
    </row>
    <row r="124" spans="1:32" ht="47.45" customHeight="1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4" t="s">
        <v>122</v>
      </c>
      <c r="S124" s="146" t="s">
        <v>50</v>
      </c>
      <c r="T124" s="2">
        <v>2400</v>
      </c>
      <c r="U124" s="44">
        <v>2400</v>
      </c>
      <c r="V124" s="44">
        <v>4059</v>
      </c>
      <c r="W124" s="44">
        <v>2400</v>
      </c>
      <c r="X124" s="44">
        <v>2400</v>
      </c>
      <c r="Y124" s="44">
        <v>2400</v>
      </c>
      <c r="Z124" s="44">
        <v>2400</v>
      </c>
      <c r="AA124" s="52">
        <f>SUM(T124:Z124)</f>
        <v>18459</v>
      </c>
      <c r="AB124" s="41">
        <v>2024</v>
      </c>
      <c r="AC124" s="127"/>
      <c r="AD124" s="105"/>
    </row>
    <row r="125" spans="1:32" ht="47.2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4" t="s">
        <v>123</v>
      </c>
      <c r="S125" s="146" t="s">
        <v>32</v>
      </c>
      <c r="T125" s="4">
        <v>12100</v>
      </c>
      <c r="U125" s="3">
        <v>11300</v>
      </c>
      <c r="V125" s="3">
        <v>16000</v>
      </c>
      <c r="W125" s="3">
        <v>12800</v>
      </c>
      <c r="X125" s="3">
        <v>12800</v>
      </c>
      <c r="Y125" s="3">
        <v>12800</v>
      </c>
      <c r="Z125" s="3">
        <v>12800</v>
      </c>
      <c r="AA125" s="52">
        <f t="shared" ref="AA125:AA126" si="47">SUM(T125:Z125)</f>
        <v>90600</v>
      </c>
      <c r="AB125" s="41">
        <v>2024</v>
      </c>
      <c r="AC125" s="127"/>
      <c r="AD125" s="105"/>
    </row>
    <row r="126" spans="1:32" s="54" customFormat="1" ht="30" customHeight="1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4" t="s">
        <v>124</v>
      </c>
      <c r="S126" s="146" t="s">
        <v>34</v>
      </c>
      <c r="T126" s="4">
        <v>8969</v>
      </c>
      <c r="U126" s="3">
        <v>9945</v>
      </c>
      <c r="V126" s="3">
        <v>10275</v>
      </c>
      <c r="W126" s="3">
        <v>12053</v>
      </c>
      <c r="X126" s="3">
        <v>12053</v>
      </c>
      <c r="Y126" s="3">
        <v>12053</v>
      </c>
      <c r="Z126" s="3">
        <v>12053</v>
      </c>
      <c r="AA126" s="52">
        <f t="shared" si="47"/>
        <v>77401</v>
      </c>
      <c r="AB126" s="41">
        <v>2024</v>
      </c>
      <c r="AC126" s="127"/>
      <c r="AD126" s="105"/>
    </row>
    <row r="127" spans="1:32" s="54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0" t="s">
        <v>125</v>
      </c>
      <c r="S127" s="41" t="s">
        <v>52</v>
      </c>
      <c r="T127" s="3">
        <v>2557</v>
      </c>
      <c r="U127" s="3">
        <v>2220.9</v>
      </c>
      <c r="V127" s="3">
        <v>2265.9</v>
      </c>
      <c r="W127" s="3">
        <v>2220.9</v>
      </c>
      <c r="X127" s="3">
        <v>2220.9</v>
      </c>
      <c r="Y127" s="3">
        <v>2220.9</v>
      </c>
      <c r="Z127" s="3">
        <v>2220.9</v>
      </c>
      <c r="AA127" s="6">
        <f>Z127</f>
        <v>2220.9</v>
      </c>
      <c r="AB127" s="41">
        <v>2024</v>
      </c>
      <c r="AC127" s="33"/>
    </row>
    <row r="128" spans="1:32" ht="63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51" t="s">
        <v>126</v>
      </c>
      <c r="S128" s="41" t="s">
        <v>36</v>
      </c>
      <c r="T128" s="44">
        <v>247</v>
      </c>
      <c r="U128" s="44">
        <v>247</v>
      </c>
      <c r="V128" s="44">
        <v>249</v>
      </c>
      <c r="W128" s="44">
        <v>247</v>
      </c>
      <c r="X128" s="44">
        <v>247</v>
      </c>
      <c r="Y128" s="44">
        <v>247</v>
      </c>
      <c r="Z128" s="44">
        <v>247</v>
      </c>
      <c r="AA128" s="52">
        <f>SUM(T128:Z128)</f>
        <v>1731</v>
      </c>
      <c r="AB128" s="41">
        <v>2024</v>
      </c>
      <c r="AC128" s="33"/>
    </row>
    <row r="129" spans="1:32" ht="34.9" customHeight="1" x14ac:dyDescent="0.25">
      <c r="A129" s="57" t="s">
        <v>18</v>
      </c>
      <c r="B129" s="57" t="s">
        <v>19</v>
      </c>
      <c r="C129" s="57" t="s">
        <v>24</v>
      </c>
      <c r="D129" s="57" t="s">
        <v>18</v>
      </c>
      <c r="E129" s="57" t="s">
        <v>21</v>
      </c>
      <c r="F129" s="57" t="s">
        <v>18</v>
      </c>
      <c r="G129" s="57" t="s">
        <v>22</v>
      </c>
      <c r="H129" s="57" t="s">
        <v>19</v>
      </c>
      <c r="I129" s="57" t="s">
        <v>24</v>
      </c>
      <c r="J129" s="57" t="s">
        <v>18</v>
      </c>
      <c r="K129" s="57" t="s">
        <v>18</v>
      </c>
      <c r="L129" s="57" t="s">
        <v>19</v>
      </c>
      <c r="M129" s="57" t="s">
        <v>18</v>
      </c>
      <c r="N129" s="57" t="s">
        <v>18</v>
      </c>
      <c r="O129" s="57" t="s">
        <v>18</v>
      </c>
      <c r="P129" s="57" t="s">
        <v>18</v>
      </c>
      <c r="Q129" s="57" t="s">
        <v>18</v>
      </c>
      <c r="R129" s="71" t="s">
        <v>127</v>
      </c>
      <c r="S129" s="97" t="s">
        <v>0</v>
      </c>
      <c r="T129" s="62">
        <f>0+236</f>
        <v>236</v>
      </c>
      <c r="U129" s="62">
        <f>1036-229-48-141.6</f>
        <v>617.4</v>
      </c>
      <c r="V129" s="62">
        <f>1036-150</f>
        <v>886</v>
      </c>
      <c r="W129" s="62">
        <v>1036</v>
      </c>
      <c r="X129" s="62">
        <v>1036</v>
      </c>
      <c r="Y129" s="62">
        <v>1036</v>
      </c>
      <c r="Z129" s="62">
        <v>1036</v>
      </c>
      <c r="AA129" s="62">
        <f>SUM(T129:Z129)</f>
        <v>5883.4</v>
      </c>
      <c r="AB129" s="61">
        <v>2024</v>
      </c>
      <c r="AC129" s="33"/>
    </row>
    <row r="130" spans="1:32" ht="34.9" customHeight="1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4" t="s">
        <v>128</v>
      </c>
      <c r="S130" s="146" t="s">
        <v>50</v>
      </c>
      <c r="T130" s="2">
        <v>0</v>
      </c>
      <c r="U130" s="2">
        <v>1</v>
      </c>
      <c r="V130" s="2">
        <v>0</v>
      </c>
      <c r="W130" s="2">
        <v>0</v>
      </c>
      <c r="X130" s="2">
        <v>5</v>
      </c>
      <c r="Y130" s="2">
        <v>5</v>
      </c>
      <c r="Z130" s="2">
        <v>5</v>
      </c>
      <c r="AA130" s="52">
        <f>SUM(U130:Z130)</f>
        <v>16</v>
      </c>
      <c r="AB130" s="41">
        <v>2024</v>
      </c>
      <c r="AC130" s="127"/>
      <c r="AD130" s="112"/>
      <c r="AE130" s="112"/>
      <c r="AF130" s="112"/>
    </row>
    <row r="131" spans="1:32" ht="31.5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4" t="s">
        <v>185</v>
      </c>
      <c r="S131" s="146" t="s">
        <v>50</v>
      </c>
      <c r="T131" s="2">
        <v>3</v>
      </c>
      <c r="U131" s="2">
        <f>5-1</f>
        <v>4</v>
      </c>
      <c r="V131" s="2">
        <f t="shared" ref="V131:Z131" si="48">5-1</f>
        <v>4</v>
      </c>
      <c r="W131" s="2">
        <f t="shared" si="48"/>
        <v>4</v>
      </c>
      <c r="X131" s="2">
        <f t="shared" si="48"/>
        <v>4</v>
      </c>
      <c r="Y131" s="2">
        <f t="shared" si="48"/>
        <v>4</v>
      </c>
      <c r="Z131" s="2">
        <f t="shared" si="48"/>
        <v>4</v>
      </c>
      <c r="AA131" s="52">
        <v>4</v>
      </c>
      <c r="AB131" s="41">
        <v>2024</v>
      </c>
      <c r="AC131" s="33"/>
      <c r="AD131" s="112"/>
      <c r="AE131" s="112"/>
      <c r="AF131" s="112"/>
    </row>
    <row r="132" spans="1:32" ht="31.5" x14ac:dyDescent="0.25">
      <c r="A132" s="57" t="s">
        <v>18</v>
      </c>
      <c r="B132" s="57" t="s">
        <v>19</v>
      </c>
      <c r="C132" s="57" t="s">
        <v>20</v>
      </c>
      <c r="D132" s="57" t="s">
        <v>18</v>
      </c>
      <c r="E132" s="57" t="s">
        <v>21</v>
      </c>
      <c r="F132" s="57" t="s">
        <v>18</v>
      </c>
      <c r="G132" s="57" t="s">
        <v>22</v>
      </c>
      <c r="H132" s="57" t="s">
        <v>19</v>
      </c>
      <c r="I132" s="57" t="s">
        <v>24</v>
      </c>
      <c r="J132" s="57" t="s">
        <v>18</v>
      </c>
      <c r="K132" s="57" t="s">
        <v>18</v>
      </c>
      <c r="L132" s="57" t="s">
        <v>19</v>
      </c>
      <c r="M132" s="57" t="s">
        <v>18</v>
      </c>
      <c r="N132" s="57" t="s">
        <v>18</v>
      </c>
      <c r="O132" s="57" t="s">
        <v>18</v>
      </c>
      <c r="P132" s="57" t="s">
        <v>18</v>
      </c>
      <c r="Q132" s="57" t="s">
        <v>18</v>
      </c>
      <c r="R132" s="71" t="s">
        <v>180</v>
      </c>
      <c r="S132" s="97" t="s">
        <v>0</v>
      </c>
      <c r="T132" s="62">
        <f>0+550+1550.7</f>
        <v>2100.6999999999998</v>
      </c>
      <c r="U132" s="62">
        <f>0+4000</f>
        <v>4000</v>
      </c>
      <c r="V132" s="62">
        <f>0</f>
        <v>0</v>
      </c>
      <c r="W132" s="62">
        <f>0</f>
        <v>0</v>
      </c>
      <c r="X132" s="62">
        <f>0</f>
        <v>0</v>
      </c>
      <c r="Y132" s="62">
        <f>0</f>
        <v>0</v>
      </c>
      <c r="Z132" s="62">
        <f>0</f>
        <v>0</v>
      </c>
      <c r="AA132" s="62">
        <f>SUM(T132:Z132)</f>
        <v>6100.7</v>
      </c>
      <c r="AB132" s="61">
        <v>2019</v>
      </c>
      <c r="AC132" s="33"/>
    </row>
    <row r="133" spans="1:32" ht="30" customHeight="1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4" t="s">
        <v>179</v>
      </c>
      <c r="S133" s="146" t="s">
        <v>38</v>
      </c>
      <c r="T133" s="2">
        <v>2</v>
      </c>
      <c r="U133" s="2">
        <v>1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52">
        <f>SUM(T133:Z133)</f>
        <v>3</v>
      </c>
      <c r="AB133" s="41">
        <v>2019</v>
      </c>
      <c r="AC133" s="127"/>
      <c r="AD133" s="112"/>
      <c r="AE133" s="112"/>
      <c r="AF133" s="112"/>
    </row>
    <row r="134" spans="1:32" ht="22.15" customHeight="1" x14ac:dyDescent="0.25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149" t="s">
        <v>292</v>
      </c>
      <c r="S134" s="58" t="s">
        <v>0</v>
      </c>
      <c r="T134" s="62">
        <v>0</v>
      </c>
      <c r="U134" s="62">
        <f>SUM(U135:U138)</f>
        <v>117553.9</v>
      </c>
      <c r="V134" s="62">
        <f>V136+V135+V137+V138</f>
        <v>125899.7</v>
      </c>
      <c r="W134" s="62">
        <f t="shared" ref="W134:Z134" si="49">W136</f>
        <v>5649.7</v>
      </c>
      <c r="X134" s="62">
        <f t="shared" si="49"/>
        <v>5649.7</v>
      </c>
      <c r="Y134" s="62">
        <f t="shared" si="49"/>
        <v>5649.7</v>
      </c>
      <c r="Z134" s="62">
        <f t="shared" si="49"/>
        <v>5649.7</v>
      </c>
      <c r="AA134" s="62">
        <f>SUM(T134:Z134)</f>
        <v>266052.40000000002</v>
      </c>
      <c r="AB134" s="61">
        <v>2024</v>
      </c>
      <c r="AD134" s="107"/>
      <c r="AE134" s="107"/>
    </row>
    <row r="135" spans="1:32" x14ac:dyDescent="0.25">
      <c r="A135" s="57" t="s">
        <v>18</v>
      </c>
      <c r="B135" s="57" t="s">
        <v>19</v>
      </c>
      <c r="C135" s="57" t="s">
        <v>20</v>
      </c>
      <c r="D135" s="57" t="s">
        <v>18</v>
      </c>
      <c r="E135" s="57" t="s">
        <v>21</v>
      </c>
      <c r="F135" s="57" t="s">
        <v>18</v>
      </c>
      <c r="G135" s="57" t="s">
        <v>22</v>
      </c>
      <c r="H135" s="57" t="s">
        <v>19</v>
      </c>
      <c r="I135" s="57" t="s">
        <v>24</v>
      </c>
      <c r="J135" s="57" t="s">
        <v>18</v>
      </c>
      <c r="K135" s="57" t="s">
        <v>271</v>
      </c>
      <c r="L135" s="57" t="s">
        <v>20</v>
      </c>
      <c r="M135" s="57" t="s">
        <v>21</v>
      </c>
      <c r="N135" s="57" t="s">
        <v>21</v>
      </c>
      <c r="O135" s="57" t="s">
        <v>21</v>
      </c>
      <c r="P135" s="57" t="s">
        <v>21</v>
      </c>
      <c r="Q135" s="57" t="s">
        <v>19</v>
      </c>
      <c r="R135" s="149"/>
      <c r="S135" s="58" t="s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62">
        <f>SUM(T135:Z135)</f>
        <v>0</v>
      </c>
      <c r="AB135" s="61">
        <v>2024</v>
      </c>
      <c r="AD135" s="107"/>
      <c r="AE135" s="107"/>
    </row>
    <row r="136" spans="1:32" x14ac:dyDescent="0.25">
      <c r="A136" s="57" t="s">
        <v>18</v>
      </c>
      <c r="B136" s="57" t="s">
        <v>24</v>
      </c>
      <c r="C136" s="57" t="s">
        <v>22</v>
      </c>
      <c r="D136" s="57" t="s">
        <v>18</v>
      </c>
      <c r="E136" s="57" t="s">
        <v>21</v>
      </c>
      <c r="F136" s="57" t="s">
        <v>18</v>
      </c>
      <c r="G136" s="57" t="s">
        <v>22</v>
      </c>
      <c r="H136" s="57" t="s">
        <v>19</v>
      </c>
      <c r="I136" s="57" t="s">
        <v>24</v>
      </c>
      <c r="J136" s="57" t="s">
        <v>18</v>
      </c>
      <c r="K136" s="57" t="s">
        <v>271</v>
      </c>
      <c r="L136" s="57" t="s">
        <v>20</v>
      </c>
      <c r="M136" s="57" t="s">
        <v>21</v>
      </c>
      <c r="N136" s="57" t="s">
        <v>21</v>
      </c>
      <c r="O136" s="57" t="s">
        <v>21</v>
      </c>
      <c r="P136" s="57" t="s">
        <v>21</v>
      </c>
      <c r="Q136" s="57" t="s">
        <v>19</v>
      </c>
      <c r="R136" s="149"/>
      <c r="S136" s="58" t="s">
        <v>0</v>
      </c>
      <c r="T136" s="1">
        <v>0</v>
      </c>
      <c r="U136" s="1">
        <f>115690</f>
        <v>115690</v>
      </c>
      <c r="V136" s="1">
        <f>5649.7-45+120000-2400</f>
        <v>123204.7</v>
      </c>
      <c r="W136" s="1">
        <v>5649.7</v>
      </c>
      <c r="X136" s="1">
        <v>5649.7</v>
      </c>
      <c r="Y136" s="1">
        <v>5649.7</v>
      </c>
      <c r="Z136" s="1">
        <v>5649.7</v>
      </c>
      <c r="AA136" s="62">
        <f t="shared" ref="AA136:AA138" si="50">SUM(T136:Z136)</f>
        <v>261493.50000000006</v>
      </c>
      <c r="AB136" s="61">
        <v>2024</v>
      </c>
      <c r="AD136" s="107"/>
      <c r="AE136" s="107"/>
    </row>
    <row r="137" spans="1:32" x14ac:dyDescent="0.25">
      <c r="A137" s="57" t="s">
        <v>18</v>
      </c>
      <c r="B137" s="57" t="s">
        <v>19</v>
      </c>
      <c r="C137" s="57" t="s">
        <v>20</v>
      </c>
      <c r="D137" s="57" t="s">
        <v>18</v>
      </c>
      <c r="E137" s="57" t="s">
        <v>21</v>
      </c>
      <c r="F137" s="57" t="s">
        <v>18</v>
      </c>
      <c r="G137" s="57" t="s">
        <v>22</v>
      </c>
      <c r="H137" s="57" t="s">
        <v>19</v>
      </c>
      <c r="I137" s="57" t="s">
        <v>24</v>
      </c>
      <c r="J137" s="57" t="s">
        <v>18</v>
      </c>
      <c r="K137" s="57" t="s">
        <v>18</v>
      </c>
      <c r="L137" s="57" t="s">
        <v>19</v>
      </c>
      <c r="M137" s="57" t="s">
        <v>18</v>
      </c>
      <c r="N137" s="57" t="s">
        <v>18</v>
      </c>
      <c r="O137" s="57" t="s">
        <v>18</v>
      </c>
      <c r="P137" s="57" t="s">
        <v>18</v>
      </c>
      <c r="Q137" s="57" t="s">
        <v>18</v>
      </c>
      <c r="R137" s="149"/>
      <c r="S137" s="58" t="s">
        <v>0</v>
      </c>
      <c r="T137" s="1">
        <v>0</v>
      </c>
      <c r="U137" s="1">
        <f>840+131.2-50</f>
        <v>921.2</v>
      </c>
      <c r="V137" s="1">
        <f>150+100</f>
        <v>250</v>
      </c>
      <c r="W137" s="1">
        <v>0</v>
      </c>
      <c r="X137" s="1">
        <v>0</v>
      </c>
      <c r="Y137" s="1">
        <v>0</v>
      </c>
      <c r="Z137" s="1">
        <v>0</v>
      </c>
      <c r="AA137" s="62">
        <f t="shared" ref="AA137" si="51">SUM(T137:Z137)</f>
        <v>1171.2</v>
      </c>
      <c r="AB137" s="61">
        <v>2020</v>
      </c>
      <c r="AD137" s="107"/>
      <c r="AE137" s="107"/>
    </row>
    <row r="138" spans="1:32" x14ac:dyDescent="0.25">
      <c r="A138" s="57" t="s">
        <v>18</v>
      </c>
      <c r="B138" s="57" t="s">
        <v>24</v>
      </c>
      <c r="C138" s="57" t="s">
        <v>22</v>
      </c>
      <c r="D138" s="57" t="s">
        <v>18</v>
      </c>
      <c r="E138" s="57" t="s">
        <v>21</v>
      </c>
      <c r="F138" s="57" t="s">
        <v>18</v>
      </c>
      <c r="G138" s="57" t="s">
        <v>22</v>
      </c>
      <c r="H138" s="57" t="s">
        <v>19</v>
      </c>
      <c r="I138" s="57" t="s">
        <v>24</v>
      </c>
      <c r="J138" s="57" t="s">
        <v>18</v>
      </c>
      <c r="K138" s="57" t="s">
        <v>18</v>
      </c>
      <c r="L138" s="57" t="s">
        <v>19</v>
      </c>
      <c r="M138" s="57" t="s">
        <v>18</v>
      </c>
      <c r="N138" s="57" t="s">
        <v>18</v>
      </c>
      <c r="O138" s="57" t="s">
        <v>18</v>
      </c>
      <c r="P138" s="57" t="s">
        <v>18</v>
      </c>
      <c r="Q138" s="57" t="s">
        <v>18</v>
      </c>
      <c r="R138" s="149"/>
      <c r="S138" s="58" t="s">
        <v>0</v>
      </c>
      <c r="T138" s="1">
        <v>0</v>
      </c>
      <c r="U138" s="1">
        <f>2865.5-1232.8-690</f>
        <v>942.7</v>
      </c>
      <c r="V138" s="1">
        <f>0+45+2400</f>
        <v>2445</v>
      </c>
      <c r="W138" s="1">
        <v>0</v>
      </c>
      <c r="X138" s="1">
        <v>0</v>
      </c>
      <c r="Y138" s="1">
        <v>0</v>
      </c>
      <c r="Z138" s="1">
        <v>0</v>
      </c>
      <c r="AA138" s="62">
        <f t="shared" si="50"/>
        <v>3387.7</v>
      </c>
      <c r="AB138" s="61">
        <v>2020</v>
      </c>
      <c r="AD138" s="107"/>
      <c r="AE138" s="107"/>
    </row>
    <row r="139" spans="1:32" ht="33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4" t="s">
        <v>74</v>
      </c>
      <c r="S139" s="65" t="s">
        <v>38</v>
      </c>
      <c r="T139" s="2">
        <v>0</v>
      </c>
      <c r="U139" s="2">
        <v>6</v>
      </c>
      <c r="V139" s="44">
        <v>4</v>
      </c>
      <c r="W139" s="2">
        <v>3</v>
      </c>
      <c r="X139" s="2">
        <v>3</v>
      </c>
      <c r="Y139" s="2">
        <v>3</v>
      </c>
      <c r="Z139" s="2">
        <v>3</v>
      </c>
      <c r="AA139" s="52">
        <f>SUM(T139:Z139)</f>
        <v>22</v>
      </c>
      <c r="AB139" s="146">
        <v>2024</v>
      </c>
      <c r="AD139" s="107"/>
      <c r="AE139" s="107"/>
    </row>
    <row r="140" spans="1:32" ht="31.1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4" t="s">
        <v>75</v>
      </c>
      <c r="S140" s="65" t="s">
        <v>52</v>
      </c>
      <c r="T140" s="4">
        <v>0</v>
      </c>
      <c r="U140" s="4">
        <v>58.4</v>
      </c>
      <c r="V140" s="3">
        <v>33.1</v>
      </c>
      <c r="W140" s="4">
        <v>64.3</v>
      </c>
      <c r="X140" s="4">
        <v>64.3</v>
      </c>
      <c r="Y140" s="4">
        <v>64.3</v>
      </c>
      <c r="Z140" s="4">
        <v>64.3</v>
      </c>
      <c r="AA140" s="6">
        <f>SUM(T140:Z140)</f>
        <v>348.70000000000005</v>
      </c>
      <c r="AB140" s="41">
        <v>2024</v>
      </c>
      <c r="AD140" s="107"/>
      <c r="AE140" s="107"/>
    </row>
    <row r="141" spans="1:32" ht="31.5" x14ac:dyDescent="0.25">
      <c r="A141" s="57" t="s">
        <v>18</v>
      </c>
      <c r="B141" s="57" t="s">
        <v>18</v>
      </c>
      <c r="C141" s="57" t="s">
        <v>25</v>
      </c>
      <c r="D141" s="57" t="s">
        <v>18</v>
      </c>
      <c r="E141" s="57" t="s">
        <v>21</v>
      </c>
      <c r="F141" s="57" t="s">
        <v>18</v>
      </c>
      <c r="G141" s="57" t="s">
        <v>22</v>
      </c>
      <c r="H141" s="57" t="s">
        <v>19</v>
      </c>
      <c r="I141" s="57" t="s">
        <v>24</v>
      </c>
      <c r="J141" s="57" t="s">
        <v>18</v>
      </c>
      <c r="K141" s="57" t="s">
        <v>18</v>
      </c>
      <c r="L141" s="57" t="s">
        <v>19</v>
      </c>
      <c r="M141" s="57" t="s">
        <v>19</v>
      </c>
      <c r="N141" s="57" t="s">
        <v>19</v>
      </c>
      <c r="O141" s="57" t="s">
        <v>19</v>
      </c>
      <c r="P141" s="57" t="s">
        <v>183</v>
      </c>
      <c r="Q141" s="57" t="s">
        <v>18</v>
      </c>
      <c r="R141" s="71" t="s">
        <v>344</v>
      </c>
      <c r="S141" s="58" t="s">
        <v>0</v>
      </c>
      <c r="T141" s="62">
        <v>0</v>
      </c>
      <c r="U141" s="62">
        <f>103354.8-103354.8</f>
        <v>0</v>
      </c>
      <c r="V141" s="62">
        <v>1000</v>
      </c>
      <c r="W141" s="62">
        <v>0</v>
      </c>
      <c r="X141" s="62">
        <v>0</v>
      </c>
      <c r="Y141" s="62">
        <v>0</v>
      </c>
      <c r="Z141" s="62">
        <v>0</v>
      </c>
      <c r="AA141" s="62">
        <f>SUM(T141:Y141)</f>
        <v>1000</v>
      </c>
      <c r="AB141" s="61">
        <v>2020</v>
      </c>
      <c r="AD141" s="107"/>
      <c r="AE141" s="107"/>
    </row>
    <row r="142" spans="1:32" ht="31.5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 t="s">
        <v>343</v>
      </c>
      <c r="S142" s="41" t="s">
        <v>38</v>
      </c>
      <c r="T142" s="44">
        <v>0</v>
      </c>
      <c r="U142" s="44">
        <v>0</v>
      </c>
      <c r="V142" s="44">
        <v>1</v>
      </c>
      <c r="W142" s="44">
        <v>0</v>
      </c>
      <c r="X142" s="44">
        <v>0</v>
      </c>
      <c r="Y142" s="44">
        <v>0</v>
      </c>
      <c r="Z142" s="44">
        <v>0</v>
      </c>
      <c r="AA142" s="52">
        <f t="shared" ref="AA142" si="52">SUM(T142:Y142)</f>
        <v>1</v>
      </c>
      <c r="AB142" s="76">
        <v>2020</v>
      </c>
      <c r="AD142" s="107"/>
      <c r="AE142" s="107"/>
    </row>
    <row r="143" spans="1:32" s="54" customFormat="1" ht="40.1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78" t="s">
        <v>56</v>
      </c>
      <c r="S143" s="50" t="s">
        <v>0</v>
      </c>
      <c r="T143" s="49">
        <f t="shared" ref="T143:Z143" si="53">T166+T209+T152+T464</f>
        <v>147061.215</v>
      </c>
      <c r="U143" s="49">
        <f t="shared" si="53"/>
        <v>108807.59999999998</v>
      </c>
      <c r="V143" s="49">
        <f t="shared" si="53"/>
        <v>9021.7000000000007</v>
      </c>
      <c r="W143" s="49">
        <f>W166+W209+W152+W464</f>
        <v>17890.3</v>
      </c>
      <c r="X143" s="49">
        <f t="shared" si="53"/>
        <v>17890.3</v>
      </c>
      <c r="Y143" s="49">
        <f t="shared" si="53"/>
        <v>25190.3</v>
      </c>
      <c r="Z143" s="49">
        <f t="shared" si="53"/>
        <v>25190.3</v>
      </c>
      <c r="AA143" s="49">
        <f>SUM(T143:Z143)</f>
        <v>351051.71499999991</v>
      </c>
      <c r="AB143" s="50">
        <v>2024</v>
      </c>
      <c r="AC143" s="114"/>
      <c r="AD143" s="53"/>
    </row>
    <row r="144" spans="1:32" s="54" customFormat="1" ht="31.5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243</v>
      </c>
      <c r="S144" s="41" t="s">
        <v>38</v>
      </c>
      <c r="T144" s="2">
        <f t="shared" ref="T144:Z144" si="54">T465+T171+T211</f>
        <v>58</v>
      </c>
      <c r="U144" s="44">
        <f>U465+U171+U211</f>
        <v>42</v>
      </c>
      <c r="V144" s="2">
        <f t="shared" si="54"/>
        <v>7</v>
      </c>
      <c r="W144" s="2">
        <f t="shared" si="54"/>
        <v>37</v>
      </c>
      <c r="X144" s="2">
        <f t="shared" si="54"/>
        <v>37</v>
      </c>
      <c r="Y144" s="2">
        <f t="shared" si="54"/>
        <v>48</v>
      </c>
      <c r="Z144" s="2">
        <f t="shared" si="54"/>
        <v>48</v>
      </c>
      <c r="AA144" s="45">
        <f>SUM(T144:Z144)</f>
        <v>277</v>
      </c>
      <c r="AB144" s="41">
        <v>2024</v>
      </c>
      <c r="AC144" s="94"/>
      <c r="AD144" s="53"/>
    </row>
    <row r="145" spans="1:31" s="54" customFormat="1" ht="31.5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 t="s">
        <v>244</v>
      </c>
      <c r="S145" s="41" t="s">
        <v>52</v>
      </c>
      <c r="T145" s="4">
        <f>T465+T169+T210</f>
        <v>63</v>
      </c>
      <c r="U145" s="4">
        <f t="shared" ref="U145:Z145" si="55">U466+U169+U210</f>
        <v>42.2</v>
      </c>
      <c r="V145" s="4">
        <f t="shared" si="55"/>
        <v>1.7000000000000002</v>
      </c>
      <c r="W145" s="4">
        <f t="shared" si="55"/>
        <v>65.2</v>
      </c>
      <c r="X145" s="4">
        <f t="shared" si="55"/>
        <v>65.2</v>
      </c>
      <c r="Y145" s="4">
        <f t="shared" si="55"/>
        <v>80.300000000000011</v>
      </c>
      <c r="Z145" s="4">
        <f t="shared" si="55"/>
        <v>80.300000000000011</v>
      </c>
      <c r="AA145" s="5">
        <f>SUM(T145:Z145)</f>
        <v>397.90000000000003</v>
      </c>
      <c r="AB145" s="41">
        <v>2024</v>
      </c>
      <c r="AC145" s="114"/>
      <c r="AD145" s="53"/>
    </row>
    <row r="146" spans="1:31" s="8" customFormat="1" ht="47.25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64" t="s">
        <v>129</v>
      </c>
      <c r="S146" s="146" t="s">
        <v>9</v>
      </c>
      <c r="T146" s="3">
        <f>((4338+39.6)+63)/13987*100</f>
        <v>31.748051762350755</v>
      </c>
      <c r="U146" s="3">
        <f>((4338+39.6)+T145+U145)/13987*100</f>
        <v>32.049760491885323</v>
      </c>
      <c r="V146" s="3">
        <f>((4338+39.6)+U145+V145+T145)/13987*100</f>
        <v>32.061914635018226</v>
      </c>
      <c r="W146" s="3">
        <f>((4338+39.6)+T145+V145+W145+U145)/13987*100</f>
        <v>32.528061771645099</v>
      </c>
      <c r="X146" s="3">
        <f>((4338+39.6)+T145+U145+W145+X145+V145)/13987*100</f>
        <v>32.994208908271965</v>
      </c>
      <c r="Y146" s="3">
        <f>((4338+39.6)+T145+U145+V145+X145+Y145+W145)/13987*100</f>
        <v>33.568313433902908</v>
      </c>
      <c r="Z146" s="3">
        <f>((4338+39.6)+T145+U145+V145+W145+Y145+Z145+X145)/13987*100</f>
        <v>34.142417959533859</v>
      </c>
      <c r="AA146" s="5">
        <f>Z146</f>
        <v>34.142417959533859</v>
      </c>
      <c r="AB146" s="41">
        <v>2024</v>
      </c>
      <c r="AC146" s="106"/>
      <c r="AD146" s="63"/>
    </row>
    <row r="147" spans="1:31" ht="51.6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5" t="s">
        <v>130</v>
      </c>
      <c r="S147" s="146" t="s">
        <v>9</v>
      </c>
      <c r="T147" s="3">
        <f>30/58*100</f>
        <v>51.724137931034484</v>
      </c>
      <c r="U147" s="3">
        <f>22/42*100</f>
        <v>52.380952380952387</v>
      </c>
      <c r="V147" s="4">
        <v>91</v>
      </c>
      <c r="W147" s="4">
        <v>91</v>
      </c>
      <c r="X147" s="4">
        <v>91</v>
      </c>
      <c r="Y147" s="4">
        <v>91</v>
      </c>
      <c r="Z147" s="4">
        <v>91</v>
      </c>
      <c r="AA147" s="5">
        <v>91</v>
      </c>
      <c r="AB147" s="41">
        <v>2024</v>
      </c>
      <c r="AC147" s="114"/>
    </row>
    <row r="148" spans="1:31" ht="46.9" customHeight="1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5" t="s">
        <v>268</v>
      </c>
      <c r="S148" s="146" t="s">
        <v>269</v>
      </c>
      <c r="T148" s="4">
        <v>0</v>
      </c>
      <c r="U148" s="4">
        <v>0</v>
      </c>
      <c r="V148" s="4">
        <v>0</v>
      </c>
      <c r="W148" s="4">
        <v>23.7</v>
      </c>
      <c r="X148" s="4">
        <v>23.7</v>
      </c>
      <c r="Y148" s="4">
        <v>23.7</v>
      </c>
      <c r="Z148" s="4">
        <v>23.7</v>
      </c>
      <c r="AA148" s="5">
        <v>23.7</v>
      </c>
      <c r="AB148" s="41">
        <v>2024</v>
      </c>
      <c r="AC148" s="114"/>
    </row>
    <row r="149" spans="1:31" s="54" customFormat="1" ht="31.5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 t="s">
        <v>131</v>
      </c>
      <c r="S149" s="41" t="s">
        <v>9</v>
      </c>
      <c r="T149" s="3">
        <f>27.6/336.9*100</f>
        <v>8.1923419412288521</v>
      </c>
      <c r="U149" s="3">
        <f>11.3/336.9*100</f>
        <v>3.3541110121697839</v>
      </c>
      <c r="V149" s="3">
        <v>43.1</v>
      </c>
      <c r="W149" s="3">
        <v>43.1</v>
      </c>
      <c r="X149" s="3">
        <v>43.1</v>
      </c>
      <c r="Y149" s="3">
        <v>43.1</v>
      </c>
      <c r="Z149" s="3">
        <v>43.1</v>
      </c>
      <c r="AA149" s="6">
        <v>43.1</v>
      </c>
      <c r="AB149" s="41">
        <v>2024</v>
      </c>
      <c r="AC149" s="114"/>
      <c r="AD149" s="53"/>
    </row>
    <row r="150" spans="1:31" s="54" customFormat="1" ht="63" x14ac:dyDescent="0.25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145" t="s">
        <v>132</v>
      </c>
      <c r="S150" s="58" t="s">
        <v>41</v>
      </c>
      <c r="T150" s="59">
        <v>0</v>
      </c>
      <c r="U150" s="59">
        <v>0</v>
      </c>
      <c r="V150" s="59">
        <v>0</v>
      </c>
      <c r="W150" s="59">
        <v>1</v>
      </c>
      <c r="X150" s="59">
        <v>1</v>
      </c>
      <c r="Y150" s="59">
        <v>1</v>
      </c>
      <c r="Z150" s="59">
        <v>1</v>
      </c>
      <c r="AA150" s="60">
        <v>1</v>
      </c>
      <c r="AB150" s="61">
        <v>2024</v>
      </c>
      <c r="AC150" s="114"/>
      <c r="AD150" s="53"/>
    </row>
    <row r="151" spans="1:31" s="54" customFormat="1" ht="31.5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72</v>
      </c>
      <c r="S151" s="41" t="s">
        <v>38</v>
      </c>
      <c r="T151" s="44">
        <v>0</v>
      </c>
      <c r="U151" s="44">
        <v>0</v>
      </c>
      <c r="V151" s="44">
        <f t="shared" ref="V151:Z151" si="56">V465</f>
        <v>0</v>
      </c>
      <c r="W151" s="44">
        <f t="shared" si="56"/>
        <v>30</v>
      </c>
      <c r="X151" s="44">
        <f t="shared" si="56"/>
        <v>30</v>
      </c>
      <c r="Y151" s="44">
        <f t="shared" si="56"/>
        <v>30</v>
      </c>
      <c r="Z151" s="44">
        <f t="shared" si="56"/>
        <v>30</v>
      </c>
      <c r="AA151" s="52">
        <f>SUM(T151:Z151)</f>
        <v>120</v>
      </c>
      <c r="AB151" s="41">
        <v>2024</v>
      </c>
      <c r="AC151" s="121"/>
      <c r="AD151" s="116"/>
      <c r="AE151" s="116"/>
    </row>
    <row r="152" spans="1:31" s="54" customFormat="1" ht="31.5" x14ac:dyDescent="0.25">
      <c r="A152" s="57"/>
      <c r="B152" s="57"/>
      <c r="C152" s="57"/>
      <c r="D152" s="57" t="s">
        <v>18</v>
      </c>
      <c r="E152" s="57" t="s">
        <v>21</v>
      </c>
      <c r="F152" s="57" t="s">
        <v>18</v>
      </c>
      <c r="G152" s="57" t="s">
        <v>22</v>
      </c>
      <c r="H152" s="57" t="s">
        <v>19</v>
      </c>
      <c r="I152" s="57" t="s">
        <v>24</v>
      </c>
      <c r="J152" s="57" t="s">
        <v>18</v>
      </c>
      <c r="K152" s="57" t="s">
        <v>18</v>
      </c>
      <c r="L152" s="57" t="s">
        <v>20</v>
      </c>
      <c r="M152" s="57" t="s">
        <v>18</v>
      </c>
      <c r="N152" s="57" t="s">
        <v>18</v>
      </c>
      <c r="O152" s="57" t="s">
        <v>18</v>
      </c>
      <c r="P152" s="57" t="s">
        <v>18</v>
      </c>
      <c r="Q152" s="57" t="s">
        <v>18</v>
      </c>
      <c r="R152" s="145" t="s">
        <v>272</v>
      </c>
      <c r="S152" s="61" t="s">
        <v>0</v>
      </c>
      <c r="T152" s="62">
        <f t="shared" ref="T152:Y152" si="57">T154+T156+T158+T160</f>
        <v>1307</v>
      </c>
      <c r="U152" s="62">
        <f t="shared" si="57"/>
        <v>0</v>
      </c>
      <c r="V152" s="62">
        <f t="shared" si="57"/>
        <v>0</v>
      </c>
      <c r="W152" s="62">
        <f t="shared" si="57"/>
        <v>0</v>
      </c>
      <c r="X152" s="62">
        <f t="shared" si="57"/>
        <v>0</v>
      </c>
      <c r="Y152" s="62">
        <f t="shared" si="57"/>
        <v>0</v>
      </c>
      <c r="Z152" s="62">
        <f t="shared" ref="Z152" si="58">Z154+Z156+Z158+Z160</f>
        <v>0</v>
      </c>
      <c r="AA152" s="62">
        <f>SUM(T152:Y152)</f>
        <v>1307</v>
      </c>
      <c r="AB152" s="61">
        <v>2018</v>
      </c>
      <c r="AC152" s="114"/>
      <c r="AD152" s="116"/>
      <c r="AE152" s="116"/>
    </row>
    <row r="153" spans="1:31" s="54" customFormat="1" ht="47.25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81" t="s">
        <v>285</v>
      </c>
      <c r="S153" s="55" t="s">
        <v>38</v>
      </c>
      <c r="T153" s="44">
        <f>T155+T157+T159+T161</f>
        <v>39</v>
      </c>
      <c r="U153" s="44">
        <f t="shared" ref="U153:Y153" si="59">U155+U157+U159+U161</f>
        <v>0</v>
      </c>
      <c r="V153" s="44">
        <f t="shared" si="59"/>
        <v>0</v>
      </c>
      <c r="W153" s="44">
        <f t="shared" si="59"/>
        <v>0</v>
      </c>
      <c r="X153" s="44">
        <f t="shared" si="59"/>
        <v>0</v>
      </c>
      <c r="Y153" s="44">
        <f t="shared" si="59"/>
        <v>0</v>
      </c>
      <c r="Z153" s="44">
        <f t="shared" ref="Z153" si="60">Z155+Z157+Z159+Z161</f>
        <v>0</v>
      </c>
      <c r="AA153" s="52">
        <f>T153</f>
        <v>39</v>
      </c>
      <c r="AB153" s="41">
        <v>2018</v>
      </c>
      <c r="AC153" s="114"/>
      <c r="AD153" s="116"/>
      <c r="AE153" s="116"/>
    </row>
    <row r="154" spans="1:31" s="54" customFormat="1" ht="30" customHeight="1" x14ac:dyDescent="0.25">
      <c r="A154" s="57" t="s">
        <v>18</v>
      </c>
      <c r="B154" s="57" t="s">
        <v>18</v>
      </c>
      <c r="C154" s="57" t="s">
        <v>22</v>
      </c>
      <c r="D154" s="57" t="s">
        <v>18</v>
      </c>
      <c r="E154" s="57" t="s">
        <v>21</v>
      </c>
      <c r="F154" s="57" t="s">
        <v>18</v>
      </c>
      <c r="G154" s="57" t="s">
        <v>22</v>
      </c>
      <c r="H154" s="57" t="s">
        <v>19</v>
      </c>
      <c r="I154" s="57" t="s">
        <v>24</v>
      </c>
      <c r="J154" s="57" t="s">
        <v>18</v>
      </c>
      <c r="K154" s="57" t="s">
        <v>18</v>
      </c>
      <c r="L154" s="57" t="s">
        <v>20</v>
      </c>
      <c r="M154" s="57" t="s">
        <v>18</v>
      </c>
      <c r="N154" s="57" t="s">
        <v>18</v>
      </c>
      <c r="O154" s="57" t="s">
        <v>18</v>
      </c>
      <c r="P154" s="57" t="s">
        <v>18</v>
      </c>
      <c r="Q154" s="57" t="s">
        <v>18</v>
      </c>
      <c r="R154" s="145" t="s">
        <v>272</v>
      </c>
      <c r="S154" s="58" t="s">
        <v>0</v>
      </c>
      <c r="T154" s="1">
        <v>474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62">
        <f>SUM(T154:Y154)</f>
        <v>474</v>
      </c>
      <c r="AB154" s="61">
        <v>2018</v>
      </c>
      <c r="AC154" s="125"/>
      <c r="AD154" s="117"/>
      <c r="AE154" s="117"/>
    </row>
    <row r="155" spans="1:31" s="54" customFormat="1" ht="63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 t="s">
        <v>286</v>
      </c>
      <c r="S155" s="55" t="s">
        <v>38</v>
      </c>
      <c r="T155" s="44">
        <v>15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52">
        <f>T155+U155+V155+W155+X155</f>
        <v>15</v>
      </c>
      <c r="AB155" s="41">
        <v>2018</v>
      </c>
      <c r="AC155" s="114"/>
      <c r="AD155" s="53"/>
    </row>
    <row r="156" spans="1:31" s="140" customFormat="1" ht="31.5" x14ac:dyDescent="0.25">
      <c r="A156" s="57" t="s">
        <v>18</v>
      </c>
      <c r="B156" s="57" t="s">
        <v>18</v>
      </c>
      <c r="C156" s="57" t="s">
        <v>24</v>
      </c>
      <c r="D156" s="57" t="s">
        <v>18</v>
      </c>
      <c r="E156" s="57" t="s">
        <v>21</v>
      </c>
      <c r="F156" s="57" t="s">
        <v>18</v>
      </c>
      <c r="G156" s="57" t="s">
        <v>22</v>
      </c>
      <c r="H156" s="57" t="s">
        <v>19</v>
      </c>
      <c r="I156" s="57" t="s">
        <v>24</v>
      </c>
      <c r="J156" s="57" t="s">
        <v>18</v>
      </c>
      <c r="K156" s="57" t="s">
        <v>18</v>
      </c>
      <c r="L156" s="57" t="s">
        <v>20</v>
      </c>
      <c r="M156" s="57" t="s">
        <v>18</v>
      </c>
      <c r="N156" s="57" t="s">
        <v>18</v>
      </c>
      <c r="O156" s="57" t="s">
        <v>18</v>
      </c>
      <c r="P156" s="57" t="s">
        <v>18</v>
      </c>
      <c r="Q156" s="57" t="s">
        <v>18</v>
      </c>
      <c r="R156" s="145" t="s">
        <v>272</v>
      </c>
      <c r="S156" s="58" t="s">
        <v>0</v>
      </c>
      <c r="T156" s="1">
        <f>0+126+400-100</f>
        <v>426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62">
        <f t="shared" ref="AA156:AA161" si="61">SUM(T156:Y156)</f>
        <v>426</v>
      </c>
      <c r="AB156" s="61">
        <v>2018</v>
      </c>
      <c r="AC156" s="138"/>
      <c r="AD156" s="139"/>
      <c r="AE156" s="139"/>
    </row>
    <row r="157" spans="1:31" s="54" customFormat="1" ht="63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287</v>
      </c>
      <c r="S157" s="55" t="s">
        <v>38</v>
      </c>
      <c r="T157" s="44">
        <v>4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0</v>
      </c>
      <c r="AA157" s="52">
        <f t="shared" si="61"/>
        <v>4</v>
      </c>
      <c r="AB157" s="41">
        <v>2018</v>
      </c>
      <c r="AC157" s="115"/>
      <c r="AD157" s="116"/>
    </row>
    <row r="158" spans="1:31" s="54" customFormat="1" ht="31.5" x14ac:dyDescent="0.25">
      <c r="A158" s="57" t="s">
        <v>18</v>
      </c>
      <c r="B158" s="57" t="s">
        <v>18</v>
      </c>
      <c r="C158" s="57" t="s">
        <v>21</v>
      </c>
      <c r="D158" s="57" t="s">
        <v>18</v>
      </c>
      <c r="E158" s="57" t="s">
        <v>21</v>
      </c>
      <c r="F158" s="57" t="s">
        <v>18</v>
      </c>
      <c r="G158" s="57" t="s">
        <v>22</v>
      </c>
      <c r="H158" s="57" t="s">
        <v>19</v>
      </c>
      <c r="I158" s="57" t="s">
        <v>24</v>
      </c>
      <c r="J158" s="57" t="s">
        <v>18</v>
      </c>
      <c r="K158" s="57" t="s">
        <v>18</v>
      </c>
      <c r="L158" s="57" t="s">
        <v>20</v>
      </c>
      <c r="M158" s="57" t="s">
        <v>18</v>
      </c>
      <c r="N158" s="57" t="s">
        <v>18</v>
      </c>
      <c r="O158" s="57" t="s">
        <v>18</v>
      </c>
      <c r="P158" s="57" t="s">
        <v>18</v>
      </c>
      <c r="Q158" s="57" t="s">
        <v>18</v>
      </c>
      <c r="R158" s="145" t="s">
        <v>272</v>
      </c>
      <c r="S158" s="58" t="s">
        <v>0</v>
      </c>
      <c r="T158" s="1">
        <v>250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62">
        <f t="shared" si="61"/>
        <v>250</v>
      </c>
      <c r="AB158" s="61">
        <v>2018</v>
      </c>
      <c r="AC158" s="33"/>
      <c r="AD158" s="116"/>
      <c r="AE158" s="116"/>
    </row>
    <row r="159" spans="1:31" s="54" customFormat="1" ht="63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288</v>
      </c>
      <c r="S159" s="55" t="s">
        <v>38</v>
      </c>
      <c r="T159" s="44">
        <v>16</v>
      </c>
      <c r="U159" s="44">
        <v>0</v>
      </c>
      <c r="V159" s="44">
        <v>0</v>
      </c>
      <c r="W159" s="44">
        <v>0</v>
      </c>
      <c r="X159" s="44">
        <v>0</v>
      </c>
      <c r="Y159" s="44">
        <v>0</v>
      </c>
      <c r="Z159" s="44">
        <v>0</v>
      </c>
      <c r="AA159" s="52">
        <f t="shared" si="61"/>
        <v>16</v>
      </c>
      <c r="AB159" s="41">
        <v>2018</v>
      </c>
      <c r="AC159" s="114"/>
      <c r="AD159" s="53"/>
    </row>
    <row r="160" spans="1:31" s="54" customFormat="1" ht="34.9" customHeight="1" x14ac:dyDescent="0.25">
      <c r="A160" s="57" t="s">
        <v>18</v>
      </c>
      <c r="B160" s="57" t="s">
        <v>18</v>
      </c>
      <c r="C160" s="57" t="s">
        <v>25</v>
      </c>
      <c r="D160" s="57" t="s">
        <v>18</v>
      </c>
      <c r="E160" s="57" t="s">
        <v>21</v>
      </c>
      <c r="F160" s="57" t="s">
        <v>18</v>
      </c>
      <c r="G160" s="57" t="s">
        <v>22</v>
      </c>
      <c r="H160" s="57" t="s">
        <v>19</v>
      </c>
      <c r="I160" s="57" t="s">
        <v>24</v>
      </c>
      <c r="J160" s="57" t="s">
        <v>18</v>
      </c>
      <c r="K160" s="57" t="s">
        <v>18</v>
      </c>
      <c r="L160" s="57" t="s">
        <v>20</v>
      </c>
      <c r="M160" s="57" t="s">
        <v>18</v>
      </c>
      <c r="N160" s="57" t="s">
        <v>18</v>
      </c>
      <c r="O160" s="57" t="s">
        <v>18</v>
      </c>
      <c r="P160" s="57" t="s">
        <v>18</v>
      </c>
      <c r="Q160" s="57" t="s">
        <v>18</v>
      </c>
      <c r="R160" s="145" t="s">
        <v>272</v>
      </c>
      <c r="S160" s="58" t="s">
        <v>0</v>
      </c>
      <c r="T160" s="1">
        <f>480-430+100+55-48</f>
        <v>157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62">
        <f t="shared" si="61"/>
        <v>157</v>
      </c>
      <c r="AB160" s="61">
        <v>2018</v>
      </c>
      <c r="AC160" s="33"/>
      <c r="AD160" s="116"/>
      <c r="AE160" s="116"/>
    </row>
    <row r="161" spans="1:31" s="54" customFormat="1" ht="63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 t="s">
        <v>289</v>
      </c>
      <c r="S161" s="55" t="s">
        <v>38</v>
      </c>
      <c r="T161" s="44">
        <v>4</v>
      </c>
      <c r="U161" s="44">
        <v>0</v>
      </c>
      <c r="V161" s="44">
        <v>0</v>
      </c>
      <c r="W161" s="44">
        <v>0</v>
      </c>
      <c r="X161" s="44">
        <v>0</v>
      </c>
      <c r="Y161" s="44">
        <v>0</v>
      </c>
      <c r="Z161" s="44">
        <v>0</v>
      </c>
      <c r="AA161" s="52">
        <f t="shared" si="61"/>
        <v>4</v>
      </c>
      <c r="AB161" s="41">
        <v>2018</v>
      </c>
      <c r="AC161" s="114"/>
      <c r="AD161" s="53"/>
    </row>
    <row r="162" spans="1:31" s="54" customFormat="1" ht="47.25" x14ac:dyDescent="0.2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145" t="s">
        <v>135</v>
      </c>
      <c r="S162" s="58" t="s">
        <v>41</v>
      </c>
      <c r="T162" s="59">
        <v>0</v>
      </c>
      <c r="U162" s="59">
        <v>0</v>
      </c>
      <c r="V162" s="59">
        <v>0</v>
      </c>
      <c r="W162" s="59">
        <v>1</v>
      </c>
      <c r="X162" s="59">
        <v>1</v>
      </c>
      <c r="Y162" s="59">
        <v>1</v>
      </c>
      <c r="Z162" s="59">
        <v>1</v>
      </c>
      <c r="AA162" s="60">
        <v>1</v>
      </c>
      <c r="AB162" s="61">
        <v>2024</v>
      </c>
      <c r="AC162" s="114"/>
      <c r="AD162" s="53"/>
    </row>
    <row r="163" spans="1:31" ht="31.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77</v>
      </c>
      <c r="S163" s="41" t="s">
        <v>38</v>
      </c>
      <c r="T163" s="2">
        <v>0</v>
      </c>
      <c r="U163" s="2">
        <v>0</v>
      </c>
      <c r="V163" s="2">
        <v>0</v>
      </c>
      <c r="W163" s="2">
        <v>2</v>
      </c>
      <c r="X163" s="2">
        <v>2</v>
      </c>
      <c r="Y163" s="2">
        <v>2</v>
      </c>
      <c r="Z163" s="2">
        <v>2</v>
      </c>
      <c r="AA163" s="52">
        <f>SUM(T163:Z163)</f>
        <v>8</v>
      </c>
      <c r="AB163" s="41">
        <v>2024</v>
      </c>
      <c r="AD163" s="107"/>
      <c r="AE163" s="107"/>
    </row>
    <row r="164" spans="1:31" ht="33" customHeight="1" x14ac:dyDescent="0.25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145" t="s">
        <v>136</v>
      </c>
      <c r="S164" s="58" t="s">
        <v>41</v>
      </c>
      <c r="T164" s="59">
        <v>0</v>
      </c>
      <c r="U164" s="59">
        <v>0</v>
      </c>
      <c r="V164" s="59">
        <v>0</v>
      </c>
      <c r="W164" s="59">
        <v>1</v>
      </c>
      <c r="X164" s="59">
        <v>1</v>
      </c>
      <c r="Y164" s="59">
        <v>1</v>
      </c>
      <c r="Z164" s="59">
        <v>1</v>
      </c>
      <c r="AA164" s="60">
        <v>1</v>
      </c>
      <c r="AB164" s="61">
        <v>2024</v>
      </c>
      <c r="AD164" s="107"/>
      <c r="AE164" s="107"/>
    </row>
    <row r="165" spans="1:31" s="79" customFormat="1" ht="47.25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40" t="s">
        <v>137</v>
      </c>
      <c r="S165" s="65" t="s">
        <v>38</v>
      </c>
      <c r="T165" s="2">
        <v>0</v>
      </c>
      <c r="U165" s="2">
        <v>0</v>
      </c>
      <c r="V165" s="2">
        <v>0</v>
      </c>
      <c r="W165" s="2">
        <v>30</v>
      </c>
      <c r="X165" s="2">
        <v>30</v>
      </c>
      <c r="Y165" s="2">
        <v>30</v>
      </c>
      <c r="Z165" s="2">
        <v>30</v>
      </c>
      <c r="AA165" s="45">
        <f>SUM(T165:Z165)</f>
        <v>120</v>
      </c>
      <c r="AB165" s="41">
        <v>2024</v>
      </c>
      <c r="AC165" s="106"/>
    </row>
    <row r="166" spans="1:31" s="79" customFormat="1" ht="63" customHeight="1" x14ac:dyDescent="0.25">
      <c r="A166" s="57"/>
      <c r="B166" s="57"/>
      <c r="C166" s="57"/>
      <c r="D166" s="57" t="s">
        <v>18</v>
      </c>
      <c r="E166" s="57" t="s">
        <v>24</v>
      </c>
      <c r="F166" s="57" t="s">
        <v>18</v>
      </c>
      <c r="G166" s="57" t="s">
        <v>43</v>
      </c>
      <c r="H166" s="57" t="s">
        <v>19</v>
      </c>
      <c r="I166" s="57" t="s">
        <v>24</v>
      </c>
      <c r="J166" s="57" t="s">
        <v>18</v>
      </c>
      <c r="K166" s="57" t="s">
        <v>18</v>
      </c>
      <c r="L166" s="57" t="s">
        <v>20</v>
      </c>
      <c r="M166" s="57" t="s">
        <v>18</v>
      </c>
      <c r="N166" s="57" t="s">
        <v>18</v>
      </c>
      <c r="O166" s="57" t="s">
        <v>18</v>
      </c>
      <c r="P166" s="57" t="s">
        <v>18</v>
      </c>
      <c r="Q166" s="57" t="s">
        <v>18</v>
      </c>
      <c r="R166" s="149" t="s">
        <v>138</v>
      </c>
      <c r="S166" s="61" t="s">
        <v>0</v>
      </c>
      <c r="T166" s="62">
        <f t="shared" ref="T166:Z166" si="62">T173+T180+T187+T194+T201</f>
        <v>123487.5</v>
      </c>
      <c r="U166" s="62">
        <f t="shared" si="62"/>
        <v>86341.199999999983</v>
      </c>
      <c r="V166" s="62">
        <f t="shared" si="62"/>
        <v>1520.3000000000002</v>
      </c>
      <c r="W166" s="62">
        <f t="shared" si="62"/>
        <v>0</v>
      </c>
      <c r="X166" s="62">
        <f t="shared" si="62"/>
        <v>0</v>
      </c>
      <c r="Y166" s="62">
        <f t="shared" si="62"/>
        <v>6200</v>
      </c>
      <c r="Z166" s="62">
        <f t="shared" si="62"/>
        <v>6200</v>
      </c>
      <c r="AA166" s="62">
        <f>SUM(T166:Z166)</f>
        <v>223748.99999999997</v>
      </c>
      <c r="AB166" s="61">
        <v>2024</v>
      </c>
      <c r="AC166" s="111"/>
    </row>
    <row r="167" spans="1:31" s="79" customFormat="1" ht="19.899999999999999" hidden="1" customHeight="1" x14ac:dyDescent="0.25">
      <c r="A167" s="57"/>
      <c r="B167" s="57"/>
      <c r="C167" s="57"/>
      <c r="D167" s="57" t="s">
        <v>18</v>
      </c>
      <c r="E167" s="57" t="s">
        <v>24</v>
      </c>
      <c r="F167" s="57" t="s">
        <v>18</v>
      </c>
      <c r="G167" s="57" t="s">
        <v>43</v>
      </c>
      <c r="H167" s="57" t="s">
        <v>19</v>
      </c>
      <c r="I167" s="57" t="s">
        <v>24</v>
      </c>
      <c r="J167" s="57" t="s">
        <v>18</v>
      </c>
      <c r="K167" s="57" t="s">
        <v>18</v>
      </c>
      <c r="L167" s="57" t="s">
        <v>20</v>
      </c>
      <c r="M167" s="57" t="s">
        <v>37</v>
      </c>
      <c r="N167" s="57" t="s">
        <v>18</v>
      </c>
      <c r="O167" s="57" t="s">
        <v>20</v>
      </c>
      <c r="P167" s="57" t="s">
        <v>19</v>
      </c>
      <c r="Q167" s="57" t="s">
        <v>39</v>
      </c>
      <c r="R167" s="149"/>
      <c r="S167" s="58" t="s">
        <v>0</v>
      </c>
      <c r="T167" s="1">
        <f t="shared" ref="T167:Z168" si="63">T175+T182+T189+T196</f>
        <v>0</v>
      </c>
      <c r="U167" s="1">
        <f t="shared" si="63"/>
        <v>18179.999999999996</v>
      </c>
      <c r="V167" s="1">
        <f t="shared" si="63"/>
        <v>0</v>
      </c>
      <c r="W167" s="1">
        <f t="shared" si="63"/>
        <v>0</v>
      </c>
      <c r="X167" s="1">
        <f t="shared" si="63"/>
        <v>0</v>
      </c>
      <c r="Y167" s="1">
        <f t="shared" si="63"/>
        <v>5600.7</v>
      </c>
      <c r="Z167" s="1">
        <f t="shared" si="63"/>
        <v>5600.7</v>
      </c>
      <c r="AA167" s="62">
        <f>T167+U167+V167+W167+X167+Y167</f>
        <v>23780.699999999997</v>
      </c>
      <c r="AB167" s="61">
        <v>2023</v>
      </c>
      <c r="AC167" s="106"/>
    </row>
    <row r="168" spans="1:31" s="79" customFormat="1" ht="19.899999999999999" hidden="1" customHeight="1" x14ac:dyDescent="0.25">
      <c r="A168" s="57"/>
      <c r="B168" s="57"/>
      <c r="C168" s="57"/>
      <c r="D168" s="57" t="s">
        <v>18</v>
      </c>
      <c r="E168" s="57" t="s">
        <v>24</v>
      </c>
      <c r="F168" s="57" t="s">
        <v>18</v>
      </c>
      <c r="G168" s="57" t="s">
        <v>43</v>
      </c>
      <c r="H168" s="57" t="s">
        <v>19</v>
      </c>
      <c r="I168" s="57" t="s">
        <v>24</v>
      </c>
      <c r="J168" s="57" t="s">
        <v>18</v>
      </c>
      <c r="K168" s="57" t="s">
        <v>18</v>
      </c>
      <c r="L168" s="57" t="s">
        <v>20</v>
      </c>
      <c r="M168" s="57" t="s">
        <v>18</v>
      </c>
      <c r="N168" s="57" t="s">
        <v>18</v>
      </c>
      <c r="O168" s="57" t="s">
        <v>18</v>
      </c>
      <c r="P168" s="57" t="s">
        <v>18</v>
      </c>
      <c r="Q168" s="57" t="s">
        <v>18</v>
      </c>
      <c r="R168" s="149"/>
      <c r="S168" s="58" t="s">
        <v>0</v>
      </c>
      <c r="T168" s="1">
        <f t="shared" si="63"/>
        <v>0</v>
      </c>
      <c r="U168" s="1">
        <f t="shared" si="63"/>
        <v>896.59999999999991</v>
      </c>
      <c r="V168" s="1">
        <f t="shared" si="63"/>
        <v>1520.3000000000002</v>
      </c>
      <c r="W168" s="1">
        <f t="shared" si="63"/>
        <v>0</v>
      </c>
      <c r="X168" s="1">
        <f t="shared" si="63"/>
        <v>0</v>
      </c>
      <c r="Y168" s="1">
        <f t="shared" si="63"/>
        <v>599.29999999999995</v>
      </c>
      <c r="Z168" s="1">
        <f t="shared" si="63"/>
        <v>599.29999999999995</v>
      </c>
      <c r="AA168" s="62">
        <f>T168+U168+V168+W168+X168+Y168</f>
        <v>3016.2</v>
      </c>
      <c r="AB168" s="61">
        <v>2023</v>
      </c>
      <c r="AC168" s="106"/>
    </row>
    <row r="169" spans="1:31" s="79" customFormat="1" ht="63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81" t="s">
        <v>191</v>
      </c>
      <c r="S169" s="65" t="s">
        <v>52</v>
      </c>
      <c r="T169" s="3">
        <f>T205</f>
        <v>58.6</v>
      </c>
      <c r="U169" s="3">
        <f t="shared" ref="U169:Z169" si="64">U205+U198+U191+U184+U177</f>
        <v>38.200000000000003</v>
      </c>
      <c r="V169" s="3">
        <f t="shared" si="64"/>
        <v>0</v>
      </c>
      <c r="W169" s="3">
        <f t="shared" si="64"/>
        <v>0</v>
      </c>
      <c r="X169" s="3">
        <f t="shared" si="64"/>
        <v>0</v>
      </c>
      <c r="Y169" s="3">
        <f t="shared" si="64"/>
        <v>15.100000000000001</v>
      </c>
      <c r="Z169" s="3">
        <f t="shared" si="64"/>
        <v>15.100000000000001</v>
      </c>
      <c r="AA169" s="6">
        <f>SUM(T169:Z169)</f>
        <v>127</v>
      </c>
      <c r="AB169" s="41">
        <v>2024</v>
      </c>
      <c r="AC169" s="106"/>
    </row>
    <row r="170" spans="1:31" s="79" customFormat="1" ht="31.15" hidden="1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82" t="s">
        <v>51</v>
      </c>
      <c r="S170" s="65"/>
      <c r="T170" s="3">
        <f>T206</f>
        <v>28</v>
      </c>
      <c r="U170" s="3"/>
      <c r="V170" s="3"/>
      <c r="W170" s="3"/>
      <c r="X170" s="3"/>
      <c r="Y170" s="3"/>
      <c r="Z170" s="3"/>
      <c r="AA170" s="6"/>
      <c r="AB170" s="41"/>
      <c r="AC170" s="106"/>
    </row>
    <row r="171" spans="1:31" s="79" customFormat="1" ht="31.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83" t="s">
        <v>192</v>
      </c>
      <c r="S171" s="65" t="s">
        <v>38</v>
      </c>
      <c r="T171" s="44">
        <f>T206</f>
        <v>28</v>
      </c>
      <c r="U171" s="44">
        <f>U178+U185+U192+U199+U206</f>
        <v>20</v>
      </c>
      <c r="V171" s="44">
        <f>V178+V185+V192+V199</f>
        <v>0</v>
      </c>
      <c r="W171" s="44">
        <f>W178+W185+W192+W199</f>
        <v>0</v>
      </c>
      <c r="X171" s="44">
        <f>X178+X185+X192+X199</f>
        <v>0</v>
      </c>
      <c r="Y171" s="44">
        <f>Y178+Y185+Y192+Y199</f>
        <v>11</v>
      </c>
      <c r="Z171" s="44">
        <f>Z178+Z185+Z192+Z199</f>
        <v>11</v>
      </c>
      <c r="AA171" s="52">
        <f>SUM(T171:Z171)</f>
        <v>70</v>
      </c>
      <c r="AB171" s="41">
        <v>2024</v>
      </c>
      <c r="AC171" s="106"/>
      <c r="AD171" s="84"/>
    </row>
    <row r="172" spans="1:31" s="137" customFormat="1" ht="47.2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81" t="s">
        <v>308</v>
      </c>
      <c r="S172" s="55" t="s">
        <v>38</v>
      </c>
      <c r="T172" s="44">
        <v>0</v>
      </c>
      <c r="U172" s="44">
        <f>U179+U186+U193+U200</f>
        <v>20</v>
      </c>
      <c r="V172" s="44">
        <f>V179+V186+V193+V200</f>
        <v>14</v>
      </c>
      <c r="W172" s="44">
        <v>0</v>
      </c>
      <c r="X172" s="44">
        <v>0</v>
      </c>
      <c r="Y172" s="44">
        <v>0</v>
      </c>
      <c r="Z172" s="44">
        <v>0</v>
      </c>
      <c r="AA172" s="52">
        <f>SUM(T172:Z172)</f>
        <v>34</v>
      </c>
      <c r="AB172" s="41">
        <v>2020</v>
      </c>
      <c r="AC172" s="114"/>
      <c r="AD172" s="136"/>
    </row>
    <row r="173" spans="1:31" s="79" customFormat="1" x14ac:dyDescent="0.25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149" t="s">
        <v>138</v>
      </c>
      <c r="S173" s="58" t="s">
        <v>0</v>
      </c>
      <c r="T173" s="62">
        <f>SUM(T175:T176)</f>
        <v>0</v>
      </c>
      <c r="U173" s="62">
        <f>SUM(U174:U176)</f>
        <v>26850.299999999996</v>
      </c>
      <c r="V173" s="62">
        <f t="shared" ref="V173:Z173" si="65">SUM(V174:V176)</f>
        <v>270.60000000000002</v>
      </c>
      <c r="W173" s="62">
        <f t="shared" si="65"/>
        <v>0</v>
      </c>
      <c r="X173" s="62">
        <f t="shared" si="65"/>
        <v>0</v>
      </c>
      <c r="Y173" s="62">
        <f t="shared" si="65"/>
        <v>1700</v>
      </c>
      <c r="Z173" s="62">
        <f t="shared" si="65"/>
        <v>1700</v>
      </c>
      <c r="AA173" s="62">
        <f>SUM(T173:Z173)</f>
        <v>30520.899999999994</v>
      </c>
      <c r="AB173" s="61">
        <v>2024</v>
      </c>
      <c r="AC173" s="106"/>
      <c r="AD173" s="84"/>
    </row>
    <row r="174" spans="1:31" s="79" customFormat="1" x14ac:dyDescent="0.25">
      <c r="A174" s="57" t="s">
        <v>18</v>
      </c>
      <c r="B174" s="57" t="s">
        <v>18</v>
      </c>
      <c r="C174" s="57" t="s">
        <v>22</v>
      </c>
      <c r="D174" s="57" t="s">
        <v>18</v>
      </c>
      <c r="E174" s="57" t="s">
        <v>24</v>
      </c>
      <c r="F174" s="57" t="s">
        <v>18</v>
      </c>
      <c r="G174" s="57" t="s">
        <v>43</v>
      </c>
      <c r="H174" s="57" t="s">
        <v>19</v>
      </c>
      <c r="I174" s="57" t="s">
        <v>24</v>
      </c>
      <c r="J174" s="57" t="s">
        <v>18</v>
      </c>
      <c r="K174" s="57" t="s">
        <v>18</v>
      </c>
      <c r="L174" s="57" t="s">
        <v>20</v>
      </c>
      <c r="M174" s="57" t="s">
        <v>19</v>
      </c>
      <c r="N174" s="57" t="s">
        <v>18</v>
      </c>
      <c r="O174" s="57" t="s">
        <v>183</v>
      </c>
      <c r="P174" s="57" t="s">
        <v>21</v>
      </c>
      <c r="Q174" s="57" t="s">
        <v>25</v>
      </c>
      <c r="R174" s="149"/>
      <c r="S174" s="58" t="s">
        <v>0</v>
      </c>
      <c r="T174" s="1">
        <v>0</v>
      </c>
      <c r="U174" s="1">
        <f>16800.1+4329.1</f>
        <v>21129.199999999997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62">
        <f t="shared" ref="AA174" si="66">SUM(T174:Z174)</f>
        <v>21129.199999999997</v>
      </c>
      <c r="AB174" s="61">
        <v>2024</v>
      </c>
      <c r="AC174" s="106"/>
      <c r="AD174" s="84"/>
    </row>
    <row r="175" spans="1:31" s="79" customFormat="1" x14ac:dyDescent="0.25">
      <c r="A175" s="57" t="s">
        <v>18</v>
      </c>
      <c r="B175" s="57" t="s">
        <v>18</v>
      </c>
      <c r="C175" s="57" t="s">
        <v>22</v>
      </c>
      <c r="D175" s="57" t="s">
        <v>18</v>
      </c>
      <c r="E175" s="57" t="s">
        <v>24</v>
      </c>
      <c r="F175" s="57" t="s">
        <v>18</v>
      </c>
      <c r="G175" s="57" t="s">
        <v>43</v>
      </c>
      <c r="H175" s="57" t="s">
        <v>19</v>
      </c>
      <c r="I175" s="57" t="s">
        <v>24</v>
      </c>
      <c r="J175" s="57" t="s">
        <v>18</v>
      </c>
      <c r="K175" s="57" t="s">
        <v>18</v>
      </c>
      <c r="L175" s="57" t="s">
        <v>20</v>
      </c>
      <c r="M175" s="57" t="s">
        <v>37</v>
      </c>
      <c r="N175" s="57" t="s">
        <v>18</v>
      </c>
      <c r="O175" s="57" t="s">
        <v>183</v>
      </c>
      <c r="P175" s="57" t="s">
        <v>21</v>
      </c>
      <c r="Q175" s="57" t="s">
        <v>25</v>
      </c>
      <c r="R175" s="149"/>
      <c r="S175" s="58" t="s">
        <v>0</v>
      </c>
      <c r="T175" s="1">
        <v>0</v>
      </c>
      <c r="U175" s="1">
        <f>4199.9+2224.5-291-681.9</f>
        <v>5451.5</v>
      </c>
      <c r="V175" s="1">
        <f>2529.4-2529.4</f>
        <v>0</v>
      </c>
      <c r="W175" s="1">
        <f>2800-2800</f>
        <v>0</v>
      </c>
      <c r="X175" s="1">
        <f>2800-2800</f>
        <v>0</v>
      </c>
      <c r="Y175" s="1">
        <v>1535.7</v>
      </c>
      <c r="Z175" s="1">
        <v>1535.7</v>
      </c>
      <c r="AA175" s="62">
        <f t="shared" ref="AA175:AA176" si="67">SUM(T175:Z175)</f>
        <v>8522.9</v>
      </c>
      <c r="AB175" s="61">
        <v>2024</v>
      </c>
      <c r="AC175" s="106"/>
      <c r="AD175" s="84"/>
    </row>
    <row r="176" spans="1:31" s="79" customFormat="1" x14ac:dyDescent="0.25">
      <c r="A176" s="57" t="s">
        <v>18</v>
      </c>
      <c r="B176" s="57" t="s">
        <v>18</v>
      </c>
      <c r="C176" s="57" t="s">
        <v>22</v>
      </c>
      <c r="D176" s="57" t="s">
        <v>18</v>
      </c>
      <c r="E176" s="57" t="s">
        <v>24</v>
      </c>
      <c r="F176" s="57" t="s">
        <v>18</v>
      </c>
      <c r="G176" s="57" t="s">
        <v>43</v>
      </c>
      <c r="H176" s="57" t="s">
        <v>19</v>
      </c>
      <c r="I176" s="57" t="s">
        <v>24</v>
      </c>
      <c r="J176" s="57" t="s">
        <v>18</v>
      </c>
      <c r="K176" s="57" t="s">
        <v>18</v>
      </c>
      <c r="L176" s="57" t="s">
        <v>20</v>
      </c>
      <c r="M176" s="57" t="s">
        <v>18</v>
      </c>
      <c r="N176" s="57" t="s">
        <v>18</v>
      </c>
      <c r="O176" s="57" t="s">
        <v>18</v>
      </c>
      <c r="P176" s="57" t="s">
        <v>18</v>
      </c>
      <c r="Q176" s="57" t="s">
        <v>18</v>
      </c>
      <c r="R176" s="149"/>
      <c r="S176" s="58" t="s">
        <v>0</v>
      </c>
      <c r="T176" s="1">
        <v>0</v>
      </c>
      <c r="U176" s="1">
        <f>164.3-164.3+200+449.4+50.8-371.3-59.3</f>
        <v>269.59999999999991</v>
      </c>
      <c r="V176" s="1">
        <v>270.60000000000002</v>
      </c>
      <c r="W176" s="1">
        <v>0</v>
      </c>
      <c r="X176" s="1">
        <v>0</v>
      </c>
      <c r="Y176" s="1">
        <v>164.3</v>
      </c>
      <c r="Z176" s="1">
        <v>164.3</v>
      </c>
      <c r="AA176" s="62">
        <f t="shared" si="67"/>
        <v>868.8</v>
      </c>
      <c r="AB176" s="61">
        <v>2024</v>
      </c>
      <c r="AC176" s="106"/>
      <c r="AD176" s="84"/>
    </row>
    <row r="177" spans="1:30" s="79" customFormat="1" ht="63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81" t="s">
        <v>297</v>
      </c>
      <c r="S177" s="65" t="s">
        <v>42</v>
      </c>
      <c r="T177" s="3">
        <v>0</v>
      </c>
      <c r="U177" s="3">
        <v>11.6</v>
      </c>
      <c r="V177" s="3">
        <f>6.8-6.8</f>
        <v>0</v>
      </c>
      <c r="W177" s="3">
        <v>0</v>
      </c>
      <c r="X177" s="3">
        <v>0</v>
      </c>
      <c r="Y177" s="3">
        <v>4.3</v>
      </c>
      <c r="Z177" s="3">
        <v>4.3</v>
      </c>
      <c r="AA177" s="6">
        <f>SUM(T177:Z177)</f>
        <v>20.2</v>
      </c>
      <c r="AB177" s="41">
        <v>2024</v>
      </c>
      <c r="AC177" s="106"/>
    </row>
    <row r="178" spans="1:30" s="79" customFormat="1" ht="47.2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83" t="s">
        <v>298</v>
      </c>
      <c r="S178" s="65" t="s">
        <v>38</v>
      </c>
      <c r="T178" s="44">
        <v>0</v>
      </c>
      <c r="U178" s="44">
        <v>8</v>
      </c>
      <c r="V178" s="44">
        <f>3-3</f>
        <v>0</v>
      </c>
      <c r="W178" s="44">
        <v>0</v>
      </c>
      <c r="X178" s="44">
        <v>0</v>
      </c>
      <c r="Y178" s="44">
        <v>4</v>
      </c>
      <c r="Z178" s="44">
        <v>4</v>
      </c>
      <c r="AA178" s="52">
        <f>SUM(T178:Z178)</f>
        <v>16</v>
      </c>
      <c r="AB178" s="41">
        <v>2024</v>
      </c>
      <c r="AC178" s="106"/>
      <c r="AD178" s="84"/>
    </row>
    <row r="179" spans="1:30" s="137" customFormat="1" ht="63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81" t="s">
        <v>309</v>
      </c>
      <c r="S179" s="55" t="s">
        <v>38</v>
      </c>
      <c r="T179" s="44">
        <v>0</v>
      </c>
      <c r="U179" s="44">
        <v>8</v>
      </c>
      <c r="V179" s="44">
        <v>5</v>
      </c>
      <c r="W179" s="44">
        <v>0</v>
      </c>
      <c r="X179" s="44">
        <v>0</v>
      </c>
      <c r="Y179" s="44">
        <v>0</v>
      </c>
      <c r="Z179" s="44">
        <v>0</v>
      </c>
      <c r="AA179" s="52">
        <f>SUM(T179:Z179)</f>
        <v>13</v>
      </c>
      <c r="AB179" s="41">
        <v>2020</v>
      </c>
      <c r="AC179" s="114"/>
      <c r="AD179" s="136"/>
    </row>
    <row r="180" spans="1:30" s="79" customFormat="1" ht="24" customHeight="1" x14ac:dyDescent="0.25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149" t="s">
        <v>138</v>
      </c>
      <c r="S180" s="58" t="s">
        <v>0</v>
      </c>
      <c r="T180" s="62">
        <f>T182+T183</f>
        <v>0</v>
      </c>
      <c r="U180" s="62">
        <f>SUM(U181:U183)</f>
        <v>22882.399999999998</v>
      </c>
      <c r="V180" s="62">
        <f t="shared" ref="V180:Z180" si="68">SUM(V181:V183)</f>
        <v>403.5</v>
      </c>
      <c r="W180" s="62">
        <f t="shared" si="68"/>
        <v>0</v>
      </c>
      <c r="X180" s="62">
        <f t="shared" si="68"/>
        <v>0</v>
      </c>
      <c r="Y180" s="62">
        <f t="shared" si="68"/>
        <v>1500</v>
      </c>
      <c r="Z180" s="62">
        <f t="shared" si="68"/>
        <v>1500</v>
      </c>
      <c r="AA180" s="62">
        <f>SUM(T180:Z180)</f>
        <v>26285.899999999998</v>
      </c>
      <c r="AB180" s="61">
        <v>2024</v>
      </c>
      <c r="AC180" s="106"/>
    </row>
    <row r="181" spans="1:30" s="79" customFormat="1" x14ac:dyDescent="0.25">
      <c r="A181" s="57" t="s">
        <v>18</v>
      </c>
      <c r="B181" s="57" t="s">
        <v>18</v>
      </c>
      <c r="C181" s="57" t="s">
        <v>24</v>
      </c>
      <c r="D181" s="57" t="s">
        <v>18</v>
      </c>
      <c r="E181" s="57" t="s">
        <v>24</v>
      </c>
      <c r="F181" s="57" t="s">
        <v>18</v>
      </c>
      <c r="G181" s="57" t="s">
        <v>43</v>
      </c>
      <c r="H181" s="57" t="s">
        <v>19</v>
      </c>
      <c r="I181" s="57" t="s">
        <v>24</v>
      </c>
      <c r="J181" s="57" t="s">
        <v>18</v>
      </c>
      <c r="K181" s="57" t="s">
        <v>18</v>
      </c>
      <c r="L181" s="57" t="s">
        <v>20</v>
      </c>
      <c r="M181" s="57" t="s">
        <v>19</v>
      </c>
      <c r="N181" s="57" t="s">
        <v>18</v>
      </c>
      <c r="O181" s="57" t="s">
        <v>183</v>
      </c>
      <c r="P181" s="57" t="s">
        <v>21</v>
      </c>
      <c r="Q181" s="57" t="s">
        <v>25</v>
      </c>
      <c r="R181" s="149"/>
      <c r="S181" s="58" t="s">
        <v>0</v>
      </c>
      <c r="T181" s="1">
        <f>T183+T184</f>
        <v>0</v>
      </c>
      <c r="U181" s="1">
        <f>14400.1+2862.7</f>
        <v>17262.8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62">
        <f t="shared" ref="AA181:AA183" si="69">SUM(T181:Z181)</f>
        <v>17262.8</v>
      </c>
      <c r="AB181" s="61">
        <v>2024</v>
      </c>
      <c r="AC181" s="106"/>
    </row>
    <row r="182" spans="1:30" s="79" customFormat="1" x14ac:dyDescent="0.25">
      <c r="A182" s="57" t="s">
        <v>18</v>
      </c>
      <c r="B182" s="57" t="s">
        <v>18</v>
      </c>
      <c r="C182" s="57" t="s">
        <v>24</v>
      </c>
      <c r="D182" s="57" t="s">
        <v>18</v>
      </c>
      <c r="E182" s="57" t="s">
        <v>24</v>
      </c>
      <c r="F182" s="57" t="s">
        <v>18</v>
      </c>
      <c r="G182" s="57" t="s">
        <v>43</v>
      </c>
      <c r="H182" s="57" t="s">
        <v>19</v>
      </c>
      <c r="I182" s="57" t="s">
        <v>24</v>
      </c>
      <c r="J182" s="57" t="s">
        <v>18</v>
      </c>
      <c r="K182" s="57" t="s">
        <v>18</v>
      </c>
      <c r="L182" s="57" t="s">
        <v>20</v>
      </c>
      <c r="M182" s="57" t="s">
        <v>37</v>
      </c>
      <c r="N182" s="57" t="s">
        <v>18</v>
      </c>
      <c r="O182" s="57" t="s">
        <v>183</v>
      </c>
      <c r="P182" s="57" t="s">
        <v>21</v>
      </c>
      <c r="Q182" s="57" t="s">
        <v>25</v>
      </c>
      <c r="R182" s="149"/>
      <c r="S182" s="58" t="s">
        <v>0</v>
      </c>
      <c r="T182" s="1">
        <v>0</v>
      </c>
      <c r="U182" s="1">
        <f>3599.9+2545.7-290-443.1</f>
        <v>5412.5</v>
      </c>
      <c r="V182" s="1">
        <f>1096.5-1096.5</f>
        <v>0</v>
      </c>
      <c r="W182" s="1">
        <f>1500-1500</f>
        <v>0</v>
      </c>
      <c r="X182" s="1">
        <f>1500-1500</f>
        <v>0</v>
      </c>
      <c r="Y182" s="1">
        <v>1355</v>
      </c>
      <c r="Z182" s="1">
        <v>1355</v>
      </c>
      <c r="AA182" s="62">
        <f t="shared" si="69"/>
        <v>8122.5</v>
      </c>
      <c r="AB182" s="61">
        <v>2024</v>
      </c>
      <c r="AC182" s="106"/>
    </row>
    <row r="183" spans="1:30" s="79" customFormat="1" x14ac:dyDescent="0.25">
      <c r="A183" s="57" t="s">
        <v>18</v>
      </c>
      <c r="B183" s="57" t="s">
        <v>18</v>
      </c>
      <c r="C183" s="57" t="s">
        <v>24</v>
      </c>
      <c r="D183" s="57" t="s">
        <v>18</v>
      </c>
      <c r="E183" s="57" t="s">
        <v>24</v>
      </c>
      <c r="F183" s="57" t="s">
        <v>18</v>
      </c>
      <c r="G183" s="57" t="s">
        <v>43</v>
      </c>
      <c r="H183" s="57" t="s">
        <v>19</v>
      </c>
      <c r="I183" s="57" t="s">
        <v>24</v>
      </c>
      <c r="J183" s="57" t="s">
        <v>18</v>
      </c>
      <c r="K183" s="57" t="s">
        <v>18</v>
      </c>
      <c r="L183" s="57" t="s">
        <v>20</v>
      </c>
      <c r="M183" s="57" t="s">
        <v>18</v>
      </c>
      <c r="N183" s="57" t="s">
        <v>18</v>
      </c>
      <c r="O183" s="57" t="s">
        <v>18</v>
      </c>
      <c r="P183" s="57" t="s">
        <v>18</v>
      </c>
      <c r="Q183" s="57" t="s">
        <v>18</v>
      </c>
      <c r="R183" s="149"/>
      <c r="S183" s="58" t="s">
        <v>0</v>
      </c>
      <c r="T183" s="1">
        <v>0</v>
      </c>
      <c r="U183" s="1">
        <f>145-145+100+385.2+30.4-308.5</f>
        <v>207.10000000000002</v>
      </c>
      <c r="V183" s="1">
        <v>403.5</v>
      </c>
      <c r="W183" s="1">
        <v>0</v>
      </c>
      <c r="X183" s="1">
        <v>0</v>
      </c>
      <c r="Y183" s="1">
        <v>145</v>
      </c>
      <c r="Z183" s="1">
        <v>145</v>
      </c>
      <c r="AA183" s="62">
        <f t="shared" si="69"/>
        <v>900.6</v>
      </c>
      <c r="AB183" s="61">
        <v>2024</v>
      </c>
      <c r="AC183" s="106"/>
    </row>
    <row r="184" spans="1:30" s="79" customFormat="1" ht="63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81" t="s">
        <v>299</v>
      </c>
      <c r="S184" s="65" t="s">
        <v>52</v>
      </c>
      <c r="T184" s="3">
        <v>0</v>
      </c>
      <c r="U184" s="3">
        <v>10.6</v>
      </c>
      <c r="V184" s="3">
        <f>3-3</f>
        <v>0</v>
      </c>
      <c r="W184" s="3">
        <v>0</v>
      </c>
      <c r="X184" s="3">
        <v>0</v>
      </c>
      <c r="Y184" s="3">
        <v>3.5</v>
      </c>
      <c r="Z184" s="3">
        <v>3.5</v>
      </c>
      <c r="AA184" s="6">
        <f>SUM(T184:Z184)</f>
        <v>17.600000000000001</v>
      </c>
      <c r="AB184" s="41">
        <v>2024</v>
      </c>
      <c r="AC184" s="106"/>
    </row>
    <row r="185" spans="1:30" s="79" customFormat="1" ht="47.2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3" t="s">
        <v>300</v>
      </c>
      <c r="S185" s="65" t="s">
        <v>38</v>
      </c>
      <c r="T185" s="44">
        <v>0</v>
      </c>
      <c r="U185" s="44">
        <v>4</v>
      </c>
      <c r="V185" s="44">
        <f>2-2</f>
        <v>0</v>
      </c>
      <c r="W185" s="44">
        <v>0</v>
      </c>
      <c r="X185" s="44">
        <v>0</v>
      </c>
      <c r="Y185" s="44">
        <v>2</v>
      </c>
      <c r="Z185" s="44">
        <v>2</v>
      </c>
      <c r="AA185" s="52">
        <f>SUM(T185:Z185)</f>
        <v>8</v>
      </c>
      <c r="AB185" s="41">
        <v>2024</v>
      </c>
      <c r="AC185" s="106"/>
      <c r="AD185" s="84"/>
    </row>
    <row r="186" spans="1:30" s="137" customFormat="1" ht="63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81" t="s">
        <v>310</v>
      </c>
      <c r="S186" s="55" t="s">
        <v>38</v>
      </c>
      <c r="T186" s="44">
        <v>0</v>
      </c>
      <c r="U186" s="44">
        <v>4</v>
      </c>
      <c r="V186" s="44">
        <v>2</v>
      </c>
      <c r="W186" s="44">
        <v>0</v>
      </c>
      <c r="X186" s="44">
        <v>0</v>
      </c>
      <c r="Y186" s="44">
        <v>0</v>
      </c>
      <c r="Z186" s="44">
        <v>0</v>
      </c>
      <c r="AA186" s="52">
        <f>SUM(T186:Z186)</f>
        <v>6</v>
      </c>
      <c r="AB186" s="41">
        <v>2020</v>
      </c>
      <c r="AC186" s="114"/>
      <c r="AD186" s="136"/>
    </row>
    <row r="187" spans="1:30" s="79" customFormat="1" ht="21.6" customHeight="1" x14ac:dyDescent="0.25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149" t="s">
        <v>138</v>
      </c>
      <c r="S187" s="58" t="s">
        <v>0</v>
      </c>
      <c r="T187" s="62">
        <f>T189+T190</f>
        <v>0</v>
      </c>
      <c r="U187" s="62">
        <f>SUM(U188:U190)</f>
        <v>25870.1</v>
      </c>
      <c r="V187" s="62">
        <f t="shared" ref="V187:Z187" si="70">SUM(V188:V190)</f>
        <v>145</v>
      </c>
      <c r="W187" s="62">
        <f t="shared" si="70"/>
        <v>0</v>
      </c>
      <c r="X187" s="62">
        <f t="shared" si="70"/>
        <v>0</v>
      </c>
      <c r="Y187" s="62">
        <f t="shared" si="70"/>
        <v>1500</v>
      </c>
      <c r="Z187" s="62">
        <f t="shared" si="70"/>
        <v>1500</v>
      </c>
      <c r="AA187" s="62">
        <f>SUM(T187:Z187)</f>
        <v>29015.1</v>
      </c>
      <c r="AB187" s="61">
        <v>2024</v>
      </c>
      <c r="AC187" s="106"/>
    </row>
    <row r="188" spans="1:30" s="79" customFormat="1" x14ac:dyDescent="0.25">
      <c r="A188" s="57" t="s">
        <v>18</v>
      </c>
      <c r="B188" s="57" t="s">
        <v>18</v>
      </c>
      <c r="C188" s="57" t="s">
        <v>21</v>
      </c>
      <c r="D188" s="57" t="s">
        <v>18</v>
      </c>
      <c r="E188" s="57" t="s">
        <v>24</v>
      </c>
      <c r="F188" s="57" t="s">
        <v>18</v>
      </c>
      <c r="G188" s="57" t="s">
        <v>43</v>
      </c>
      <c r="H188" s="57" t="s">
        <v>19</v>
      </c>
      <c r="I188" s="57" t="s">
        <v>24</v>
      </c>
      <c r="J188" s="57" t="s">
        <v>18</v>
      </c>
      <c r="K188" s="57" t="s">
        <v>18</v>
      </c>
      <c r="L188" s="57" t="s">
        <v>20</v>
      </c>
      <c r="M188" s="57" t="s">
        <v>19</v>
      </c>
      <c r="N188" s="57" t="s">
        <v>18</v>
      </c>
      <c r="O188" s="57" t="s">
        <v>183</v>
      </c>
      <c r="P188" s="57" t="s">
        <v>21</v>
      </c>
      <c r="Q188" s="57" t="s">
        <v>25</v>
      </c>
      <c r="R188" s="149"/>
      <c r="S188" s="58" t="s">
        <v>0</v>
      </c>
      <c r="T188" s="1">
        <v>0</v>
      </c>
      <c r="U188" s="1">
        <f>16800.1+3497.2</f>
        <v>20297.3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62">
        <f t="shared" ref="AA188:AA189" si="71">SUM(T188:Z188)</f>
        <v>20297.3</v>
      </c>
      <c r="AB188" s="61">
        <v>2024</v>
      </c>
      <c r="AC188" s="106"/>
    </row>
    <row r="189" spans="1:30" s="79" customFormat="1" x14ac:dyDescent="0.25">
      <c r="A189" s="57" t="s">
        <v>18</v>
      </c>
      <c r="B189" s="57" t="s">
        <v>18</v>
      </c>
      <c r="C189" s="57" t="s">
        <v>21</v>
      </c>
      <c r="D189" s="57" t="s">
        <v>18</v>
      </c>
      <c r="E189" s="57" t="s">
        <v>24</v>
      </c>
      <c r="F189" s="57" t="s">
        <v>18</v>
      </c>
      <c r="G189" s="57" t="s">
        <v>43</v>
      </c>
      <c r="H189" s="57" t="s">
        <v>19</v>
      </c>
      <c r="I189" s="57" t="s">
        <v>24</v>
      </c>
      <c r="J189" s="57" t="s">
        <v>18</v>
      </c>
      <c r="K189" s="57" t="s">
        <v>18</v>
      </c>
      <c r="L189" s="57" t="s">
        <v>20</v>
      </c>
      <c r="M189" s="57" t="s">
        <v>37</v>
      </c>
      <c r="N189" s="57" t="s">
        <v>18</v>
      </c>
      <c r="O189" s="57" t="s">
        <v>183</v>
      </c>
      <c r="P189" s="57" t="s">
        <v>21</v>
      </c>
      <c r="Q189" s="57" t="s">
        <v>25</v>
      </c>
      <c r="R189" s="149"/>
      <c r="S189" s="58" t="s">
        <v>0</v>
      </c>
      <c r="T189" s="1">
        <v>0</v>
      </c>
      <c r="U189" s="1">
        <f>4199.9+588.4+1708.4-290-845.8</f>
        <v>5360.8999999999987</v>
      </c>
      <c r="V189" s="1">
        <f>1355-1355</f>
        <v>0</v>
      </c>
      <c r="W189" s="1">
        <f>1500-1500</f>
        <v>0</v>
      </c>
      <c r="X189" s="1">
        <f>1500-1500</f>
        <v>0</v>
      </c>
      <c r="Y189" s="1">
        <v>1355</v>
      </c>
      <c r="Z189" s="1">
        <v>1355</v>
      </c>
      <c r="AA189" s="62">
        <f t="shared" si="71"/>
        <v>8070.8999999999987</v>
      </c>
      <c r="AB189" s="61">
        <v>2024</v>
      </c>
      <c r="AC189" s="106"/>
    </row>
    <row r="190" spans="1:30" s="79" customFormat="1" x14ac:dyDescent="0.25">
      <c r="A190" s="57" t="s">
        <v>18</v>
      </c>
      <c r="B190" s="57" t="s">
        <v>18</v>
      </c>
      <c r="C190" s="57" t="s">
        <v>21</v>
      </c>
      <c r="D190" s="57" t="s">
        <v>18</v>
      </c>
      <c r="E190" s="57" t="s">
        <v>24</v>
      </c>
      <c r="F190" s="57" t="s">
        <v>18</v>
      </c>
      <c r="G190" s="57" t="s">
        <v>43</v>
      </c>
      <c r="H190" s="57" t="s">
        <v>19</v>
      </c>
      <c r="I190" s="57" t="s">
        <v>24</v>
      </c>
      <c r="J190" s="57" t="s">
        <v>18</v>
      </c>
      <c r="K190" s="57" t="s">
        <v>18</v>
      </c>
      <c r="L190" s="57" t="s">
        <v>20</v>
      </c>
      <c r="M190" s="57" t="s">
        <v>18</v>
      </c>
      <c r="N190" s="57" t="s">
        <v>18</v>
      </c>
      <c r="O190" s="57" t="s">
        <v>18</v>
      </c>
      <c r="P190" s="57" t="s">
        <v>18</v>
      </c>
      <c r="Q190" s="57" t="s">
        <v>18</v>
      </c>
      <c r="R190" s="149"/>
      <c r="S190" s="58" t="s">
        <v>0</v>
      </c>
      <c r="T190" s="1">
        <v>0</v>
      </c>
      <c r="U190" s="1">
        <f>145-145+100+449.4+12.6+23.8-373.9</f>
        <v>211.89999999999998</v>
      </c>
      <c r="V190" s="1">
        <v>145</v>
      </c>
      <c r="W190" s="1">
        <v>0</v>
      </c>
      <c r="X190" s="1">
        <v>0</v>
      </c>
      <c r="Y190" s="1">
        <v>145</v>
      </c>
      <c r="Z190" s="1">
        <v>145</v>
      </c>
      <c r="AA190" s="62">
        <f>SUM(T190:Z190)</f>
        <v>646.9</v>
      </c>
      <c r="AB190" s="61">
        <v>2024</v>
      </c>
      <c r="AC190" s="106"/>
    </row>
    <row r="191" spans="1:30" s="79" customFormat="1" ht="66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301</v>
      </c>
      <c r="S191" s="65" t="s">
        <v>52</v>
      </c>
      <c r="T191" s="44">
        <v>0</v>
      </c>
      <c r="U191" s="3">
        <v>11.9</v>
      </c>
      <c r="V191" s="3">
        <f>4-4</f>
        <v>0</v>
      </c>
      <c r="W191" s="3">
        <v>0</v>
      </c>
      <c r="X191" s="3">
        <v>0</v>
      </c>
      <c r="Y191" s="3">
        <v>4.2</v>
      </c>
      <c r="Z191" s="3">
        <v>4.2</v>
      </c>
      <c r="AA191" s="52">
        <f>SUM(T191:Z191)</f>
        <v>20.3</v>
      </c>
      <c r="AB191" s="41">
        <v>2024</v>
      </c>
      <c r="AC191" s="106"/>
    </row>
    <row r="192" spans="1:30" s="79" customFormat="1" ht="51.6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83" t="s">
        <v>302</v>
      </c>
      <c r="S192" s="65" t="s">
        <v>38</v>
      </c>
      <c r="T192" s="44">
        <v>0</v>
      </c>
      <c r="U192" s="44">
        <v>3</v>
      </c>
      <c r="V192" s="44">
        <f>3-3</f>
        <v>0</v>
      </c>
      <c r="W192" s="44">
        <v>0</v>
      </c>
      <c r="X192" s="44">
        <v>0</v>
      </c>
      <c r="Y192" s="44">
        <v>1</v>
      </c>
      <c r="Z192" s="44">
        <v>1</v>
      </c>
      <c r="AA192" s="52">
        <f>SUM(T192:Z192)</f>
        <v>5</v>
      </c>
      <c r="AB192" s="41">
        <v>2024</v>
      </c>
      <c r="AC192" s="106"/>
      <c r="AD192" s="84"/>
    </row>
    <row r="193" spans="1:31" s="137" customFormat="1" ht="63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81" t="s">
        <v>311</v>
      </c>
      <c r="S193" s="55" t="s">
        <v>38</v>
      </c>
      <c r="T193" s="44">
        <v>0</v>
      </c>
      <c r="U193" s="44">
        <v>3</v>
      </c>
      <c r="V193" s="44">
        <v>1</v>
      </c>
      <c r="W193" s="44">
        <v>0</v>
      </c>
      <c r="X193" s="44">
        <v>0</v>
      </c>
      <c r="Y193" s="44">
        <v>0</v>
      </c>
      <c r="Z193" s="44">
        <v>0</v>
      </c>
      <c r="AA193" s="52">
        <f>SUM(T193:Z193)</f>
        <v>4</v>
      </c>
      <c r="AB193" s="41">
        <v>2020</v>
      </c>
      <c r="AC193" s="114"/>
      <c r="AD193" s="136"/>
    </row>
    <row r="194" spans="1:31" s="79" customFormat="1" ht="20.45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149" t="s">
        <v>138</v>
      </c>
      <c r="S194" s="58" t="s">
        <v>0</v>
      </c>
      <c r="T194" s="62">
        <f>T196+T197</f>
        <v>0</v>
      </c>
      <c r="U194" s="62">
        <f>SUM(U195:U197)</f>
        <v>10158.9</v>
      </c>
      <c r="V194" s="62">
        <f t="shared" ref="V194:Z194" si="72">SUM(V195:V197)</f>
        <v>701.2</v>
      </c>
      <c r="W194" s="62">
        <f t="shared" si="72"/>
        <v>0</v>
      </c>
      <c r="X194" s="62">
        <f t="shared" si="72"/>
        <v>0</v>
      </c>
      <c r="Y194" s="62">
        <f t="shared" si="72"/>
        <v>1500</v>
      </c>
      <c r="Z194" s="62">
        <f t="shared" si="72"/>
        <v>1500</v>
      </c>
      <c r="AA194" s="62">
        <f t="shared" ref="AA194:AA197" si="73">SUM(T194:Z194)</f>
        <v>13860.1</v>
      </c>
      <c r="AB194" s="61">
        <v>2024</v>
      </c>
      <c r="AC194" s="106"/>
    </row>
    <row r="195" spans="1:31" s="79" customFormat="1" x14ac:dyDescent="0.25">
      <c r="A195" s="57" t="s">
        <v>18</v>
      </c>
      <c r="B195" s="57" t="s">
        <v>18</v>
      </c>
      <c r="C195" s="57" t="s">
        <v>25</v>
      </c>
      <c r="D195" s="57" t="s">
        <v>18</v>
      </c>
      <c r="E195" s="57" t="s">
        <v>24</v>
      </c>
      <c r="F195" s="57" t="s">
        <v>18</v>
      </c>
      <c r="G195" s="57" t="s">
        <v>43</v>
      </c>
      <c r="H195" s="57" t="s">
        <v>19</v>
      </c>
      <c r="I195" s="57" t="s">
        <v>24</v>
      </c>
      <c r="J195" s="57" t="s">
        <v>18</v>
      </c>
      <c r="K195" s="57" t="s">
        <v>18</v>
      </c>
      <c r="L195" s="57" t="s">
        <v>20</v>
      </c>
      <c r="M195" s="57" t="s">
        <v>19</v>
      </c>
      <c r="N195" s="57" t="s">
        <v>18</v>
      </c>
      <c r="O195" s="57" t="s">
        <v>183</v>
      </c>
      <c r="P195" s="57" t="s">
        <v>21</v>
      </c>
      <c r="Q195" s="57" t="s">
        <v>25</v>
      </c>
      <c r="R195" s="149"/>
      <c r="S195" s="58" t="s">
        <v>0</v>
      </c>
      <c r="T195" s="1">
        <v>0</v>
      </c>
      <c r="U195" s="1">
        <f>9600-1604.2</f>
        <v>7995.8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62">
        <f t="shared" si="73"/>
        <v>7995.8</v>
      </c>
      <c r="AB195" s="61">
        <v>2024</v>
      </c>
      <c r="AC195" s="106"/>
    </row>
    <row r="196" spans="1:31" s="79" customFormat="1" x14ac:dyDescent="0.25">
      <c r="A196" s="57" t="s">
        <v>18</v>
      </c>
      <c r="B196" s="57" t="s">
        <v>18</v>
      </c>
      <c r="C196" s="57" t="s">
        <v>25</v>
      </c>
      <c r="D196" s="57" t="s">
        <v>18</v>
      </c>
      <c r="E196" s="57" t="s">
        <v>24</v>
      </c>
      <c r="F196" s="57" t="s">
        <v>18</v>
      </c>
      <c r="G196" s="57" t="s">
        <v>43</v>
      </c>
      <c r="H196" s="57" t="s">
        <v>19</v>
      </c>
      <c r="I196" s="57" t="s">
        <v>24</v>
      </c>
      <c r="J196" s="57" t="s">
        <v>18</v>
      </c>
      <c r="K196" s="57" t="s">
        <v>18</v>
      </c>
      <c r="L196" s="57" t="s">
        <v>20</v>
      </c>
      <c r="M196" s="57" t="s">
        <v>37</v>
      </c>
      <c r="N196" s="57" t="s">
        <v>18</v>
      </c>
      <c r="O196" s="57" t="s">
        <v>183</v>
      </c>
      <c r="P196" s="57" t="s">
        <v>21</v>
      </c>
      <c r="Q196" s="57" t="s">
        <v>25</v>
      </c>
      <c r="R196" s="149"/>
      <c r="S196" s="58" t="s">
        <v>0</v>
      </c>
      <c r="T196" s="1">
        <v>0</v>
      </c>
      <c r="U196" s="1">
        <f>2401-402-43.9</f>
        <v>1955.1</v>
      </c>
      <c r="V196" s="1">
        <f>798.8-798.8</f>
        <v>0</v>
      </c>
      <c r="W196" s="1">
        <f>1500-1500</f>
        <v>0</v>
      </c>
      <c r="X196" s="1">
        <f>1500-1500</f>
        <v>0</v>
      </c>
      <c r="Y196" s="1">
        <v>1355</v>
      </c>
      <c r="Z196" s="1">
        <v>1355</v>
      </c>
      <c r="AA196" s="62">
        <f t="shared" si="73"/>
        <v>4665.1000000000004</v>
      </c>
      <c r="AB196" s="61">
        <v>2024</v>
      </c>
      <c r="AC196" s="106"/>
    </row>
    <row r="197" spans="1:31" s="79" customFormat="1" x14ac:dyDescent="0.25">
      <c r="A197" s="57" t="s">
        <v>18</v>
      </c>
      <c r="B197" s="57" t="s">
        <v>18</v>
      </c>
      <c r="C197" s="57" t="s">
        <v>25</v>
      </c>
      <c r="D197" s="57" t="s">
        <v>18</v>
      </c>
      <c r="E197" s="57" t="s">
        <v>24</v>
      </c>
      <c r="F197" s="57" t="s">
        <v>18</v>
      </c>
      <c r="G197" s="57" t="s">
        <v>43</v>
      </c>
      <c r="H197" s="57" t="s">
        <v>19</v>
      </c>
      <c r="I197" s="57" t="s">
        <v>24</v>
      </c>
      <c r="J197" s="57" t="s">
        <v>18</v>
      </c>
      <c r="K197" s="57" t="s">
        <v>18</v>
      </c>
      <c r="L197" s="57" t="s">
        <v>20</v>
      </c>
      <c r="M197" s="57" t="s">
        <v>18</v>
      </c>
      <c r="N197" s="57" t="s">
        <v>18</v>
      </c>
      <c r="O197" s="57" t="s">
        <v>18</v>
      </c>
      <c r="P197" s="57" t="s">
        <v>18</v>
      </c>
      <c r="Q197" s="57" t="s">
        <v>18</v>
      </c>
      <c r="R197" s="149"/>
      <c r="S197" s="58" t="s">
        <v>0</v>
      </c>
      <c r="T197" s="1">
        <v>0</v>
      </c>
      <c r="U197" s="1">
        <f>356.9+402-550.9</f>
        <v>208</v>
      </c>
      <c r="V197" s="1">
        <v>701.2</v>
      </c>
      <c r="W197" s="1">
        <v>0</v>
      </c>
      <c r="X197" s="1">
        <v>0</v>
      </c>
      <c r="Y197" s="1">
        <v>145</v>
      </c>
      <c r="Z197" s="1">
        <v>145</v>
      </c>
      <c r="AA197" s="62">
        <f t="shared" si="73"/>
        <v>1199.2</v>
      </c>
      <c r="AB197" s="61">
        <v>2024</v>
      </c>
      <c r="AC197" s="106"/>
    </row>
    <row r="198" spans="1:31" s="79" customFormat="1" ht="63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81" t="s">
        <v>303</v>
      </c>
      <c r="S198" s="65" t="s">
        <v>52</v>
      </c>
      <c r="T198" s="3">
        <v>0</v>
      </c>
      <c r="U198" s="3">
        <v>4.0999999999999996</v>
      </c>
      <c r="V198" s="3">
        <f>1.3-1.3</f>
        <v>0</v>
      </c>
      <c r="W198" s="3">
        <v>0</v>
      </c>
      <c r="X198" s="3">
        <v>0</v>
      </c>
      <c r="Y198" s="3">
        <v>3.1</v>
      </c>
      <c r="Z198" s="3">
        <v>3.1</v>
      </c>
      <c r="AA198" s="6">
        <f>SUM(T198:Z198)</f>
        <v>10.299999999999999</v>
      </c>
      <c r="AB198" s="41">
        <v>2024</v>
      </c>
      <c r="AC198" s="106"/>
    </row>
    <row r="199" spans="1:31" s="79" customFormat="1" ht="4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83" t="s">
        <v>304</v>
      </c>
      <c r="S199" s="65" t="s">
        <v>38</v>
      </c>
      <c r="T199" s="44">
        <v>0</v>
      </c>
      <c r="U199" s="44">
        <v>5</v>
      </c>
      <c r="V199" s="44">
        <f>1-1</f>
        <v>0</v>
      </c>
      <c r="W199" s="44">
        <v>0</v>
      </c>
      <c r="X199" s="44">
        <v>0</v>
      </c>
      <c r="Y199" s="44">
        <v>4</v>
      </c>
      <c r="Z199" s="44">
        <v>4</v>
      </c>
      <c r="AA199" s="6">
        <f t="shared" ref="AA199:AA200" si="74">SUM(T199:Z199)</f>
        <v>13</v>
      </c>
      <c r="AB199" s="41">
        <v>2024</v>
      </c>
      <c r="AC199" s="106"/>
      <c r="AD199" s="84"/>
    </row>
    <row r="200" spans="1:31" s="137" customFormat="1" ht="63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81" t="s">
        <v>312</v>
      </c>
      <c r="S200" s="55" t="s">
        <v>38</v>
      </c>
      <c r="T200" s="44">
        <v>0</v>
      </c>
      <c r="U200" s="44">
        <v>5</v>
      </c>
      <c r="V200" s="44">
        <v>6</v>
      </c>
      <c r="W200" s="44">
        <v>0</v>
      </c>
      <c r="X200" s="44">
        <v>0</v>
      </c>
      <c r="Y200" s="44">
        <v>0</v>
      </c>
      <c r="Z200" s="44">
        <v>0</v>
      </c>
      <c r="AA200" s="52">
        <f t="shared" si="74"/>
        <v>11</v>
      </c>
      <c r="AB200" s="41">
        <v>2020</v>
      </c>
      <c r="AC200" s="114"/>
      <c r="AD200" s="136"/>
    </row>
    <row r="201" spans="1:31" s="79" customFormat="1" ht="20.45" customHeight="1" x14ac:dyDescent="0.25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149" t="s">
        <v>138</v>
      </c>
      <c r="S201" s="58" t="s">
        <v>0</v>
      </c>
      <c r="T201" s="62">
        <f t="shared" ref="T201:Y201" si="75">SUM(T202:T204)</f>
        <v>123487.5</v>
      </c>
      <c r="U201" s="62">
        <f t="shared" si="75"/>
        <v>579.5</v>
      </c>
      <c r="V201" s="62">
        <f t="shared" si="75"/>
        <v>0</v>
      </c>
      <c r="W201" s="62">
        <f t="shared" si="75"/>
        <v>0</v>
      </c>
      <c r="X201" s="62">
        <f t="shared" si="75"/>
        <v>0</v>
      </c>
      <c r="Y201" s="62">
        <f t="shared" si="75"/>
        <v>0</v>
      </c>
      <c r="Z201" s="62">
        <f t="shared" ref="Z201" si="76">SUM(Z202:Z204)</f>
        <v>0</v>
      </c>
      <c r="AA201" s="62">
        <f t="shared" ref="AA201:AA206" si="77">SUM(T201:Z201)</f>
        <v>124067</v>
      </c>
      <c r="AB201" s="61">
        <v>2019</v>
      </c>
      <c r="AC201" s="124"/>
    </row>
    <row r="202" spans="1:31" s="79" customFormat="1" x14ac:dyDescent="0.25">
      <c r="A202" s="57" t="s">
        <v>18</v>
      </c>
      <c r="B202" s="57" t="s">
        <v>19</v>
      </c>
      <c r="C202" s="57" t="s">
        <v>20</v>
      </c>
      <c r="D202" s="57" t="s">
        <v>18</v>
      </c>
      <c r="E202" s="57" t="s">
        <v>24</v>
      </c>
      <c r="F202" s="57" t="s">
        <v>18</v>
      </c>
      <c r="G202" s="57" t="s">
        <v>43</v>
      </c>
      <c r="H202" s="57" t="s">
        <v>19</v>
      </c>
      <c r="I202" s="57" t="s">
        <v>24</v>
      </c>
      <c r="J202" s="57" t="s">
        <v>18</v>
      </c>
      <c r="K202" s="57" t="s">
        <v>18</v>
      </c>
      <c r="L202" s="57" t="s">
        <v>20</v>
      </c>
      <c r="M202" s="57" t="s">
        <v>19</v>
      </c>
      <c r="N202" s="57" t="s">
        <v>18</v>
      </c>
      <c r="O202" s="57" t="s">
        <v>183</v>
      </c>
      <c r="P202" s="57" t="s">
        <v>21</v>
      </c>
      <c r="Q202" s="57" t="s">
        <v>25</v>
      </c>
      <c r="R202" s="149"/>
      <c r="S202" s="58" t="s">
        <v>0</v>
      </c>
      <c r="T202" s="1">
        <v>78128.899999999994</v>
      </c>
      <c r="U202" s="1">
        <f>57600.3-57600.3</f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62">
        <f t="shared" si="77"/>
        <v>78128.899999999994</v>
      </c>
      <c r="AB202" s="61">
        <v>2018</v>
      </c>
      <c r="AC202" s="33"/>
    </row>
    <row r="203" spans="1:31" s="79" customFormat="1" x14ac:dyDescent="0.25">
      <c r="A203" s="57" t="s">
        <v>18</v>
      </c>
      <c r="B203" s="57" t="s">
        <v>19</v>
      </c>
      <c r="C203" s="57" t="s">
        <v>20</v>
      </c>
      <c r="D203" s="57" t="s">
        <v>18</v>
      </c>
      <c r="E203" s="57" t="s">
        <v>24</v>
      </c>
      <c r="F203" s="57" t="s">
        <v>18</v>
      </c>
      <c r="G203" s="57" t="s">
        <v>43</v>
      </c>
      <c r="H203" s="57" t="s">
        <v>19</v>
      </c>
      <c r="I203" s="57" t="s">
        <v>24</v>
      </c>
      <c r="J203" s="57" t="s">
        <v>18</v>
      </c>
      <c r="K203" s="57" t="s">
        <v>18</v>
      </c>
      <c r="L203" s="57" t="s">
        <v>20</v>
      </c>
      <c r="M203" s="57" t="s">
        <v>37</v>
      </c>
      <c r="N203" s="57" t="s">
        <v>18</v>
      </c>
      <c r="O203" s="57" t="s">
        <v>183</v>
      </c>
      <c r="P203" s="57" t="s">
        <v>21</v>
      </c>
      <c r="Q203" s="57" t="s">
        <v>25</v>
      </c>
      <c r="R203" s="149"/>
      <c r="S203" s="58" t="s">
        <v>0</v>
      </c>
      <c r="T203" s="1">
        <f>18932.6+19997.4+4074.8+2495.5-26-605.7-796.8</f>
        <v>44071.8</v>
      </c>
      <c r="U203" s="1">
        <f>0+14400.7-14400.7</f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62">
        <f t="shared" si="77"/>
        <v>44071.8</v>
      </c>
      <c r="AB203" s="61">
        <v>2018</v>
      </c>
      <c r="AC203" s="33"/>
    </row>
    <row r="204" spans="1:31" s="79" customFormat="1" x14ac:dyDescent="0.25">
      <c r="A204" s="57" t="s">
        <v>18</v>
      </c>
      <c r="B204" s="57" t="s">
        <v>19</v>
      </c>
      <c r="C204" s="57" t="s">
        <v>20</v>
      </c>
      <c r="D204" s="57" t="s">
        <v>18</v>
      </c>
      <c r="E204" s="57" t="s">
        <v>24</v>
      </c>
      <c r="F204" s="57" t="s">
        <v>18</v>
      </c>
      <c r="G204" s="57" t="s">
        <v>43</v>
      </c>
      <c r="H204" s="57" t="s">
        <v>19</v>
      </c>
      <c r="I204" s="57" t="s">
        <v>24</v>
      </c>
      <c r="J204" s="57" t="s">
        <v>18</v>
      </c>
      <c r="K204" s="57" t="s">
        <v>18</v>
      </c>
      <c r="L204" s="57" t="s">
        <v>20</v>
      </c>
      <c r="M204" s="57" t="s">
        <v>18</v>
      </c>
      <c r="N204" s="57" t="s">
        <v>18</v>
      </c>
      <c r="O204" s="57" t="s">
        <v>18</v>
      </c>
      <c r="P204" s="57" t="s">
        <v>18</v>
      </c>
      <c r="Q204" s="57" t="s">
        <v>18</v>
      </c>
      <c r="R204" s="149"/>
      <c r="S204" s="58" t="s">
        <v>0</v>
      </c>
      <c r="T204" s="1">
        <f>2076.9+439-203.1-904.8-121.2</f>
        <v>1286.8000000000002</v>
      </c>
      <c r="U204" s="1">
        <v>579.5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62">
        <f t="shared" si="77"/>
        <v>1866.3000000000002</v>
      </c>
      <c r="AB204" s="61">
        <v>2019</v>
      </c>
      <c r="AC204" s="33"/>
    </row>
    <row r="205" spans="1:31" s="137" customFormat="1" ht="60.6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81" t="s">
        <v>305</v>
      </c>
      <c r="S205" s="55" t="s">
        <v>52</v>
      </c>
      <c r="T205" s="3">
        <v>58.6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6">
        <f t="shared" si="77"/>
        <v>58.6</v>
      </c>
      <c r="AB205" s="41">
        <v>2018</v>
      </c>
      <c r="AC205" s="114"/>
    </row>
    <row r="206" spans="1:31" s="137" customFormat="1" ht="47.2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1" t="s">
        <v>306</v>
      </c>
      <c r="S206" s="55" t="s">
        <v>38</v>
      </c>
      <c r="T206" s="44">
        <v>28</v>
      </c>
      <c r="U206" s="44">
        <v>0</v>
      </c>
      <c r="V206" s="44">
        <v>0</v>
      </c>
      <c r="W206" s="44">
        <v>0</v>
      </c>
      <c r="X206" s="44">
        <v>0</v>
      </c>
      <c r="Y206" s="44">
        <v>0</v>
      </c>
      <c r="Z206" s="44">
        <v>0</v>
      </c>
      <c r="AA206" s="52">
        <f t="shared" si="77"/>
        <v>28</v>
      </c>
      <c r="AB206" s="41">
        <v>2018</v>
      </c>
      <c r="AC206" s="114"/>
      <c r="AD206" s="136"/>
    </row>
    <row r="207" spans="1:31" s="79" customFormat="1" ht="37.9" customHeight="1" x14ac:dyDescent="0.25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80" t="s">
        <v>189</v>
      </c>
      <c r="S207" s="58" t="s">
        <v>49</v>
      </c>
      <c r="T207" s="59">
        <v>1</v>
      </c>
      <c r="U207" s="59">
        <v>1</v>
      </c>
      <c r="V207" s="59">
        <v>1</v>
      </c>
      <c r="W207" s="59">
        <v>1</v>
      </c>
      <c r="X207" s="59">
        <v>1</v>
      </c>
      <c r="Y207" s="59">
        <v>1</v>
      </c>
      <c r="Z207" s="59">
        <v>1</v>
      </c>
      <c r="AA207" s="60">
        <v>1</v>
      </c>
      <c r="AB207" s="61">
        <v>2024</v>
      </c>
      <c r="AC207" s="33"/>
    </row>
    <row r="208" spans="1:31" ht="39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81" t="s">
        <v>139</v>
      </c>
      <c r="S208" s="41" t="s">
        <v>50</v>
      </c>
      <c r="T208" s="44">
        <f>25+19+31+16</f>
        <v>91</v>
      </c>
      <c r="U208" s="44">
        <f>6+15+31+5</f>
        <v>57</v>
      </c>
      <c r="V208" s="44">
        <v>170</v>
      </c>
      <c r="W208" s="44">
        <v>170</v>
      </c>
      <c r="X208" s="44">
        <v>170</v>
      </c>
      <c r="Y208" s="44">
        <v>170</v>
      </c>
      <c r="Z208" s="44">
        <v>170</v>
      </c>
      <c r="AA208" s="52">
        <f>SUM(T208:Z208)</f>
        <v>998</v>
      </c>
      <c r="AB208" s="41">
        <v>2024</v>
      </c>
      <c r="AC208" s="132"/>
      <c r="AD208" s="104"/>
      <c r="AE208" s="104"/>
    </row>
    <row r="209" spans="1:31" ht="42" customHeight="1" x14ac:dyDescent="0.25">
      <c r="A209" s="57"/>
      <c r="B209" s="57"/>
      <c r="C209" s="57"/>
      <c r="D209" s="57"/>
      <c r="E209" s="57"/>
      <c r="F209" s="57"/>
      <c r="G209" s="57"/>
      <c r="H209" s="57" t="s">
        <v>19</v>
      </c>
      <c r="I209" s="57" t="s">
        <v>24</v>
      </c>
      <c r="J209" s="57" t="s">
        <v>18</v>
      </c>
      <c r="K209" s="57" t="s">
        <v>18</v>
      </c>
      <c r="L209" s="57" t="s">
        <v>20</v>
      </c>
      <c r="M209" s="57" t="s">
        <v>18</v>
      </c>
      <c r="N209" s="57" t="s">
        <v>18</v>
      </c>
      <c r="O209" s="57" t="s">
        <v>18</v>
      </c>
      <c r="P209" s="57" t="s">
        <v>18</v>
      </c>
      <c r="Q209" s="57" t="s">
        <v>18</v>
      </c>
      <c r="R209" s="80" t="s">
        <v>140</v>
      </c>
      <c r="S209" s="61" t="s">
        <v>0</v>
      </c>
      <c r="T209" s="62">
        <f>T212+T256+T387+T296+T461</f>
        <v>22266.715</v>
      </c>
      <c r="U209" s="62">
        <f>U212+U256+U387+U296+U461</f>
        <v>22466.400000000001</v>
      </c>
      <c r="V209" s="62">
        <f>V212+V256+V387+V296+V461</f>
        <v>7501.4</v>
      </c>
      <c r="W209" s="62">
        <v>8228.2999999999993</v>
      </c>
      <c r="X209" s="62">
        <v>8228.2999999999993</v>
      </c>
      <c r="Y209" s="62">
        <v>8228.2999999999993</v>
      </c>
      <c r="Z209" s="62">
        <v>8228.2999999999993</v>
      </c>
      <c r="AA209" s="62">
        <f>SUM(T209:Z209)</f>
        <v>85147.715000000011</v>
      </c>
      <c r="AB209" s="61">
        <v>2024</v>
      </c>
      <c r="AC209" s="37"/>
      <c r="AD209" s="104"/>
      <c r="AE209" s="104"/>
    </row>
    <row r="210" spans="1:31" ht="31.5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83" t="s">
        <v>193</v>
      </c>
      <c r="S210" s="65" t="s">
        <v>52</v>
      </c>
      <c r="T210" s="3">
        <f>T263+T304+T393</f>
        <v>4.4000000000000004</v>
      </c>
      <c r="U210" s="3">
        <f>U263+U304+U393+U219</f>
        <v>4</v>
      </c>
      <c r="V210" s="3">
        <f>V263+V304+V393+V219</f>
        <v>1.7000000000000002</v>
      </c>
      <c r="W210" s="3">
        <f>W462</f>
        <v>7</v>
      </c>
      <c r="X210" s="3">
        <f>X462</f>
        <v>7</v>
      </c>
      <c r="Y210" s="3">
        <f>Y462</f>
        <v>7</v>
      </c>
      <c r="Z210" s="3">
        <f>Z462</f>
        <v>7</v>
      </c>
      <c r="AA210" s="6">
        <f>SUM(T210:Z210)</f>
        <v>38.1</v>
      </c>
      <c r="AB210" s="41">
        <v>2024</v>
      </c>
      <c r="AC210" s="9"/>
      <c r="AD210" s="104"/>
      <c r="AE210" s="104"/>
    </row>
    <row r="211" spans="1:31" ht="31.5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64" t="s">
        <v>190</v>
      </c>
      <c r="S211" s="41" t="s">
        <v>50</v>
      </c>
      <c r="T211" s="44">
        <f>T220+T264+T305+T395</f>
        <v>30</v>
      </c>
      <c r="U211" s="44">
        <f>U220+U264+U305+U395</f>
        <v>22</v>
      </c>
      <c r="V211" s="44">
        <f>V220+V264+V305+V395</f>
        <v>7</v>
      </c>
      <c r="W211" s="44">
        <v>7</v>
      </c>
      <c r="X211" s="44">
        <v>7</v>
      </c>
      <c r="Y211" s="44">
        <v>7</v>
      </c>
      <c r="Z211" s="44">
        <v>7</v>
      </c>
      <c r="AA211" s="52">
        <f>SUM(T211:Z211)</f>
        <v>87</v>
      </c>
      <c r="AB211" s="41">
        <v>2024</v>
      </c>
      <c r="AC211" s="9"/>
      <c r="AD211" s="104"/>
      <c r="AE211" s="104"/>
    </row>
    <row r="212" spans="1:31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149" t="s">
        <v>140</v>
      </c>
      <c r="S212" s="66" t="s">
        <v>0</v>
      </c>
      <c r="T212" s="62">
        <f t="shared" ref="T212:Z212" si="78">SUM(T213:T217)</f>
        <v>2922.6</v>
      </c>
      <c r="U212" s="62">
        <f t="shared" si="78"/>
        <v>6574.9</v>
      </c>
      <c r="V212" s="62">
        <f>SUM(V213:V217)</f>
        <v>4189.5</v>
      </c>
      <c r="W212" s="62">
        <f t="shared" si="78"/>
        <v>0</v>
      </c>
      <c r="X212" s="62">
        <f t="shared" si="78"/>
        <v>0</v>
      </c>
      <c r="Y212" s="62">
        <f t="shared" si="78"/>
        <v>0</v>
      </c>
      <c r="Z212" s="62">
        <f t="shared" si="78"/>
        <v>0</v>
      </c>
      <c r="AA212" s="62">
        <f>SUM(T212:Y212)</f>
        <v>13687</v>
      </c>
      <c r="AB212" s="61">
        <v>2020</v>
      </c>
      <c r="AC212" s="128"/>
      <c r="AD212" s="104"/>
      <c r="AE212" s="104"/>
    </row>
    <row r="213" spans="1:31" x14ac:dyDescent="0.25">
      <c r="A213" s="57" t="s">
        <v>18</v>
      </c>
      <c r="B213" s="57" t="s">
        <v>18</v>
      </c>
      <c r="C213" s="57" t="s">
        <v>22</v>
      </c>
      <c r="D213" s="57" t="s">
        <v>18</v>
      </c>
      <c r="E213" s="57" t="s">
        <v>18</v>
      </c>
      <c r="F213" s="57" t="s">
        <v>18</v>
      </c>
      <c r="G213" s="57" t="s">
        <v>18</v>
      </c>
      <c r="H213" s="57" t="s">
        <v>19</v>
      </c>
      <c r="I213" s="57" t="s">
        <v>24</v>
      </c>
      <c r="J213" s="57" t="s">
        <v>18</v>
      </c>
      <c r="K213" s="57" t="s">
        <v>18</v>
      </c>
      <c r="L213" s="57" t="s">
        <v>20</v>
      </c>
      <c r="M213" s="57" t="s">
        <v>19</v>
      </c>
      <c r="N213" s="57" t="s">
        <v>18</v>
      </c>
      <c r="O213" s="57" t="s">
        <v>24</v>
      </c>
      <c r="P213" s="57" t="s">
        <v>22</v>
      </c>
      <c r="Q213" s="57" t="s">
        <v>45</v>
      </c>
      <c r="R213" s="149"/>
      <c r="S213" s="66" t="s">
        <v>0</v>
      </c>
      <c r="T213" s="1">
        <f>T222+T227+T232+T238+T244+T251</f>
        <v>1229.5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62">
        <f t="shared" ref="AA213:AA220" si="79">SUM(T213:Y213)</f>
        <v>1229.5</v>
      </c>
      <c r="AB213" s="61">
        <v>2018</v>
      </c>
      <c r="AC213" s="128"/>
      <c r="AD213" s="104"/>
      <c r="AE213" s="104"/>
    </row>
    <row r="214" spans="1:31" x14ac:dyDescent="0.25">
      <c r="A214" s="57" t="s">
        <v>18</v>
      </c>
      <c r="B214" s="57" t="s">
        <v>18</v>
      </c>
      <c r="C214" s="57" t="s">
        <v>22</v>
      </c>
      <c r="D214" s="57" t="s">
        <v>18</v>
      </c>
      <c r="E214" s="57" t="s">
        <v>18</v>
      </c>
      <c r="F214" s="57" t="s">
        <v>18</v>
      </c>
      <c r="G214" s="57" t="s">
        <v>18</v>
      </c>
      <c r="H214" s="57" t="s">
        <v>19</v>
      </c>
      <c r="I214" s="57" t="s">
        <v>24</v>
      </c>
      <c r="J214" s="57" t="s">
        <v>18</v>
      </c>
      <c r="K214" s="57" t="s">
        <v>18</v>
      </c>
      <c r="L214" s="57" t="s">
        <v>20</v>
      </c>
      <c r="M214" s="57" t="s">
        <v>37</v>
      </c>
      <c r="N214" s="57" t="s">
        <v>18</v>
      </c>
      <c r="O214" s="57" t="s">
        <v>24</v>
      </c>
      <c r="P214" s="57" t="s">
        <v>22</v>
      </c>
      <c r="Q214" s="57" t="s">
        <v>39</v>
      </c>
      <c r="R214" s="149"/>
      <c r="S214" s="66" t="s">
        <v>0</v>
      </c>
      <c r="T214" s="1">
        <v>1046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62">
        <f t="shared" ref="AA214" si="80">SUM(T214:Y214)</f>
        <v>1046</v>
      </c>
      <c r="AB214" s="61">
        <v>2018</v>
      </c>
      <c r="AC214" s="128"/>
      <c r="AD214" s="104"/>
      <c r="AE214" s="104"/>
    </row>
    <row r="215" spans="1:31" x14ac:dyDescent="0.25">
      <c r="A215" s="57" t="s">
        <v>18</v>
      </c>
      <c r="B215" s="57" t="s">
        <v>18</v>
      </c>
      <c r="C215" s="57" t="s">
        <v>22</v>
      </c>
      <c r="D215" s="57" t="s">
        <v>18</v>
      </c>
      <c r="E215" s="57" t="s">
        <v>18</v>
      </c>
      <c r="F215" s="57" t="s">
        <v>18</v>
      </c>
      <c r="G215" s="57" t="s">
        <v>18</v>
      </c>
      <c r="H215" s="57" t="s">
        <v>19</v>
      </c>
      <c r="I215" s="57" t="s">
        <v>24</v>
      </c>
      <c r="J215" s="57" t="s">
        <v>18</v>
      </c>
      <c r="K215" s="57" t="s">
        <v>18</v>
      </c>
      <c r="L215" s="57" t="s">
        <v>20</v>
      </c>
      <c r="M215" s="57" t="s">
        <v>37</v>
      </c>
      <c r="N215" s="57" t="s">
        <v>18</v>
      </c>
      <c r="O215" s="57" t="s">
        <v>24</v>
      </c>
      <c r="P215" s="57" t="s">
        <v>22</v>
      </c>
      <c r="Q215" s="57" t="s">
        <v>46</v>
      </c>
      <c r="R215" s="149"/>
      <c r="S215" s="66" t="s">
        <v>0</v>
      </c>
      <c r="T215" s="1">
        <f>T223+T228+T233+T234+T239+T240+T245+T246+T252+T253</f>
        <v>647.1</v>
      </c>
      <c r="U215" s="1">
        <v>1329.9</v>
      </c>
      <c r="V215" s="1">
        <v>949.3</v>
      </c>
      <c r="W215" s="1">
        <v>0</v>
      </c>
      <c r="X215" s="1">
        <v>0</v>
      </c>
      <c r="Y215" s="1">
        <v>0</v>
      </c>
      <c r="Z215" s="1">
        <v>0</v>
      </c>
      <c r="AA215" s="62">
        <f t="shared" si="79"/>
        <v>2926.3</v>
      </c>
      <c r="AB215" s="61">
        <v>2020</v>
      </c>
      <c r="AC215" s="128"/>
      <c r="AD215" s="104"/>
      <c r="AE215" s="104"/>
    </row>
    <row r="216" spans="1:31" x14ac:dyDescent="0.25">
      <c r="A216" s="57" t="s">
        <v>18</v>
      </c>
      <c r="B216" s="57" t="s">
        <v>18</v>
      </c>
      <c r="C216" s="57" t="s">
        <v>22</v>
      </c>
      <c r="D216" s="57" t="s">
        <v>18</v>
      </c>
      <c r="E216" s="57" t="s">
        <v>18</v>
      </c>
      <c r="F216" s="57" t="s">
        <v>18</v>
      </c>
      <c r="G216" s="57" t="s">
        <v>18</v>
      </c>
      <c r="H216" s="57" t="s">
        <v>19</v>
      </c>
      <c r="I216" s="57" t="s">
        <v>24</v>
      </c>
      <c r="J216" s="57" t="s">
        <v>18</v>
      </c>
      <c r="K216" s="57" t="s">
        <v>18</v>
      </c>
      <c r="L216" s="57" t="s">
        <v>20</v>
      </c>
      <c r="M216" s="57" t="s">
        <v>19</v>
      </c>
      <c r="N216" s="57" t="s">
        <v>18</v>
      </c>
      <c r="O216" s="57" t="s">
        <v>24</v>
      </c>
      <c r="P216" s="57" t="s">
        <v>22</v>
      </c>
      <c r="Q216" s="57" t="s">
        <v>18</v>
      </c>
      <c r="R216" s="149"/>
      <c r="S216" s="66" t="s">
        <v>0</v>
      </c>
      <c r="T216" s="1">
        <v>0</v>
      </c>
      <c r="U216" s="1">
        <f>2901-2.9</f>
        <v>2898.1</v>
      </c>
      <c r="V216" s="1">
        <v>1721.3</v>
      </c>
      <c r="W216" s="1">
        <v>0</v>
      </c>
      <c r="X216" s="1">
        <v>0</v>
      </c>
      <c r="Y216" s="1">
        <v>0</v>
      </c>
      <c r="Z216" s="1">
        <v>0</v>
      </c>
      <c r="AA216" s="62">
        <f t="shared" si="79"/>
        <v>4619.3999999999996</v>
      </c>
      <c r="AB216" s="61">
        <v>2020</v>
      </c>
      <c r="AC216" s="128"/>
      <c r="AD216" s="104"/>
      <c r="AE216" s="104"/>
    </row>
    <row r="217" spans="1:31" x14ac:dyDescent="0.25">
      <c r="A217" s="57" t="s">
        <v>18</v>
      </c>
      <c r="B217" s="57" t="s">
        <v>18</v>
      </c>
      <c r="C217" s="57" t="s">
        <v>22</v>
      </c>
      <c r="D217" s="57" t="s">
        <v>18</v>
      </c>
      <c r="E217" s="57" t="s">
        <v>18</v>
      </c>
      <c r="F217" s="57" t="s">
        <v>18</v>
      </c>
      <c r="G217" s="57" t="s">
        <v>18</v>
      </c>
      <c r="H217" s="57" t="s">
        <v>19</v>
      </c>
      <c r="I217" s="57" t="s">
        <v>24</v>
      </c>
      <c r="J217" s="57" t="s">
        <v>18</v>
      </c>
      <c r="K217" s="57" t="s">
        <v>18</v>
      </c>
      <c r="L217" s="57" t="s">
        <v>20</v>
      </c>
      <c r="M217" s="57" t="s">
        <v>37</v>
      </c>
      <c r="N217" s="57" t="s">
        <v>18</v>
      </c>
      <c r="O217" s="57" t="s">
        <v>24</v>
      </c>
      <c r="P217" s="57" t="s">
        <v>22</v>
      </c>
      <c r="Q217" s="57" t="s">
        <v>18</v>
      </c>
      <c r="R217" s="149"/>
      <c r="S217" s="66" t="s">
        <v>0</v>
      </c>
      <c r="T217" s="1">
        <v>0</v>
      </c>
      <c r="U217" s="1">
        <f>2375.1-28.2</f>
        <v>2346.9</v>
      </c>
      <c r="V217" s="1">
        <v>1518.9</v>
      </c>
      <c r="W217" s="1">
        <v>0</v>
      </c>
      <c r="X217" s="1">
        <v>0</v>
      </c>
      <c r="Y217" s="1">
        <v>0</v>
      </c>
      <c r="Z217" s="1">
        <v>0</v>
      </c>
      <c r="AA217" s="62">
        <f t="shared" si="79"/>
        <v>3865.8</v>
      </c>
      <c r="AB217" s="61">
        <v>2020</v>
      </c>
      <c r="AC217" s="128"/>
      <c r="AD217" s="104"/>
      <c r="AE217" s="104"/>
    </row>
    <row r="218" spans="1:31" ht="47.25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81" t="s">
        <v>270</v>
      </c>
      <c r="S218" s="65" t="s">
        <v>52</v>
      </c>
      <c r="T218" s="3">
        <v>8.8000000000000007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6">
        <f t="shared" si="79"/>
        <v>8.8000000000000007</v>
      </c>
      <c r="AB218" s="41">
        <v>2018</v>
      </c>
      <c r="AC218" s="132"/>
      <c r="AD218" s="104"/>
      <c r="AE218" s="104"/>
    </row>
    <row r="219" spans="1:31" ht="47.25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83" t="s">
        <v>318</v>
      </c>
      <c r="S219" s="65" t="s">
        <v>52</v>
      </c>
      <c r="T219" s="3">
        <v>0</v>
      </c>
      <c r="U219" s="3">
        <v>1</v>
      </c>
      <c r="V219" s="3">
        <v>1.1000000000000001</v>
      </c>
      <c r="W219" s="3">
        <v>0</v>
      </c>
      <c r="X219" s="3">
        <v>0</v>
      </c>
      <c r="Y219" s="3">
        <v>0</v>
      </c>
      <c r="Z219" s="3">
        <v>0</v>
      </c>
      <c r="AA219" s="6">
        <f t="shared" si="79"/>
        <v>2.1</v>
      </c>
      <c r="AB219" s="41">
        <v>2020</v>
      </c>
      <c r="AC219" s="132"/>
      <c r="AD219" s="104"/>
      <c r="AE219" s="104"/>
    </row>
    <row r="220" spans="1:31" ht="47.25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81" t="s">
        <v>319</v>
      </c>
      <c r="S220" s="87" t="s">
        <v>50</v>
      </c>
      <c r="T220" s="44">
        <v>3</v>
      </c>
      <c r="U220" s="44">
        <v>6</v>
      </c>
      <c r="V220" s="44">
        <v>4</v>
      </c>
      <c r="W220" s="44">
        <v>0</v>
      </c>
      <c r="X220" s="44">
        <v>0</v>
      </c>
      <c r="Y220" s="44">
        <v>0</v>
      </c>
      <c r="Z220" s="44">
        <v>0</v>
      </c>
      <c r="AA220" s="52">
        <f t="shared" si="79"/>
        <v>13</v>
      </c>
      <c r="AB220" s="41">
        <v>2020</v>
      </c>
      <c r="AC220" s="132"/>
      <c r="AD220" s="104"/>
      <c r="AE220" s="104"/>
    </row>
    <row r="221" spans="1:31" ht="15.6" hidden="1" customHeight="1" x14ac:dyDescent="0.25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149" t="s">
        <v>194</v>
      </c>
      <c r="S221" s="66" t="s">
        <v>0</v>
      </c>
      <c r="T221" s="1">
        <f>SUM(T222:T224)</f>
        <v>998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62">
        <f t="shared" ref="AA221:AA318" si="81">SUM(T221:Y221)</f>
        <v>998</v>
      </c>
      <c r="AB221" s="61">
        <v>2018</v>
      </c>
      <c r="AC221" s="90"/>
      <c r="AD221" s="104">
        <f>T222+T227+T232+T238+T244+T251+T266+T272+T277+T282+T287+T292+T307+T313+T320+T327+T334+T341+T348+T355+T362+T369+T375+T381+T397+T403+T409+T415+T421+T427+T432+T438+T444+T450+T456</f>
        <v>9265.1149999999998</v>
      </c>
      <c r="AE221" s="104"/>
    </row>
    <row r="222" spans="1:31" ht="15.6" hidden="1" customHeight="1" x14ac:dyDescent="0.25">
      <c r="A222" s="57" t="s">
        <v>18</v>
      </c>
      <c r="B222" s="57" t="s">
        <v>18</v>
      </c>
      <c r="C222" s="57" t="s">
        <v>22</v>
      </c>
      <c r="D222" s="57" t="s">
        <v>18</v>
      </c>
      <c r="E222" s="57" t="s">
        <v>21</v>
      </c>
      <c r="F222" s="57" t="s">
        <v>18</v>
      </c>
      <c r="G222" s="57" t="s">
        <v>22</v>
      </c>
      <c r="H222" s="57" t="s">
        <v>19</v>
      </c>
      <c r="I222" s="57" t="s">
        <v>24</v>
      </c>
      <c r="J222" s="57" t="s">
        <v>18</v>
      </c>
      <c r="K222" s="57" t="s">
        <v>18</v>
      </c>
      <c r="L222" s="57" t="s">
        <v>20</v>
      </c>
      <c r="M222" s="57" t="s">
        <v>19</v>
      </c>
      <c r="N222" s="57" t="s">
        <v>18</v>
      </c>
      <c r="O222" s="57" t="s">
        <v>24</v>
      </c>
      <c r="P222" s="57" t="s">
        <v>22</v>
      </c>
      <c r="Q222" s="57" t="s">
        <v>45</v>
      </c>
      <c r="R222" s="149"/>
      <c r="S222" s="66" t="s">
        <v>0</v>
      </c>
      <c r="T222" s="1">
        <v>399.2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2">
        <f t="shared" si="81"/>
        <v>399.2</v>
      </c>
      <c r="AB222" s="61">
        <v>2018</v>
      </c>
      <c r="AC222" s="9"/>
      <c r="AD222" s="104">
        <f>T223+T228+T233+T234+T239+T240+T245+T246+T252+T253+T268+T273+T278+T283+T288+T293+T309+T308+T316+T315+T323+T322+T330+T329+T337+T336+T344+T343+T351+T350+T357+T358+T364+T371+T377+T383+T384+T398+T399+T404+T405+T410+T411+T416+T417+T422+T423+T428+T433+T434+T439+T440+T445+T446+T451+T452+T457+T458+T365</f>
        <v>4643.8</v>
      </c>
      <c r="AE222" s="104"/>
    </row>
    <row r="223" spans="1:31" ht="15.6" hidden="1" customHeight="1" x14ac:dyDescent="0.25">
      <c r="A223" s="57" t="s">
        <v>18</v>
      </c>
      <c r="B223" s="57" t="s">
        <v>18</v>
      </c>
      <c r="C223" s="57" t="s">
        <v>22</v>
      </c>
      <c r="D223" s="57" t="s">
        <v>18</v>
      </c>
      <c r="E223" s="57" t="s">
        <v>21</v>
      </c>
      <c r="F223" s="57" t="s">
        <v>18</v>
      </c>
      <c r="G223" s="57" t="s">
        <v>22</v>
      </c>
      <c r="H223" s="57" t="s">
        <v>19</v>
      </c>
      <c r="I223" s="57" t="s">
        <v>24</v>
      </c>
      <c r="J223" s="57" t="s">
        <v>18</v>
      </c>
      <c r="K223" s="57" t="s">
        <v>18</v>
      </c>
      <c r="L223" s="57" t="s">
        <v>20</v>
      </c>
      <c r="M223" s="57" t="s">
        <v>37</v>
      </c>
      <c r="N223" s="57" t="s">
        <v>18</v>
      </c>
      <c r="O223" s="57" t="s">
        <v>24</v>
      </c>
      <c r="P223" s="57" t="s">
        <v>22</v>
      </c>
      <c r="Q223" s="57" t="s">
        <v>46</v>
      </c>
      <c r="R223" s="149"/>
      <c r="S223" s="66" t="s">
        <v>0</v>
      </c>
      <c r="T223" s="1">
        <v>199.6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2">
        <f t="shared" si="81"/>
        <v>199.6</v>
      </c>
      <c r="AB223" s="61">
        <v>2018</v>
      </c>
      <c r="AC223" s="9"/>
      <c r="AD223" s="104">
        <f>T224+T229+T235+T241+T247+T254+T269+T274+T279+T284+T289+T294+T310+T317+T324+T331+T338+T345+T352+T359+T366+T372+T378+T385+T400+T406+T412+T418+T424+T429+T435+T441+T447+T453+T459</f>
        <v>9745.0000000000018</v>
      </c>
      <c r="AE223" s="104"/>
    </row>
    <row r="224" spans="1:31" ht="15.6" hidden="1" customHeight="1" x14ac:dyDescent="0.25">
      <c r="A224" s="57" t="s">
        <v>18</v>
      </c>
      <c r="B224" s="57" t="s">
        <v>18</v>
      </c>
      <c r="C224" s="57" t="s">
        <v>22</v>
      </c>
      <c r="D224" s="57" t="s">
        <v>18</v>
      </c>
      <c r="E224" s="57" t="s">
        <v>21</v>
      </c>
      <c r="F224" s="57" t="s">
        <v>18</v>
      </c>
      <c r="G224" s="57" t="s">
        <v>22</v>
      </c>
      <c r="H224" s="57" t="s">
        <v>19</v>
      </c>
      <c r="I224" s="57" t="s">
        <v>24</v>
      </c>
      <c r="J224" s="57" t="s">
        <v>18</v>
      </c>
      <c r="K224" s="57" t="s">
        <v>18</v>
      </c>
      <c r="L224" s="57" t="s">
        <v>20</v>
      </c>
      <c r="M224" s="57" t="s">
        <v>37</v>
      </c>
      <c r="N224" s="57" t="s">
        <v>18</v>
      </c>
      <c r="O224" s="57" t="s">
        <v>24</v>
      </c>
      <c r="P224" s="57" t="s">
        <v>22</v>
      </c>
      <c r="Q224" s="57" t="s">
        <v>39</v>
      </c>
      <c r="R224" s="149"/>
      <c r="S224" s="66" t="s">
        <v>0</v>
      </c>
      <c r="T224" s="1">
        <v>399.2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2">
        <f t="shared" si="81"/>
        <v>399.2</v>
      </c>
      <c r="AB224" s="61">
        <v>2018</v>
      </c>
      <c r="AC224" s="9"/>
      <c r="AD224" s="104">
        <f>T267+T314+T321+T328+T335+T342+T349+T356+T363+T370+T376+T382</f>
        <v>380</v>
      </c>
      <c r="AE224" s="104"/>
    </row>
    <row r="225" spans="1:31" ht="31.15" hidden="1" customHeight="1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83" t="s">
        <v>195</v>
      </c>
      <c r="S225" s="87" t="s">
        <v>181</v>
      </c>
      <c r="T225" s="3">
        <v>8750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6">
        <f t="shared" si="81"/>
        <v>8750</v>
      </c>
      <c r="AB225" s="41">
        <v>2018</v>
      </c>
      <c r="AC225" s="9"/>
      <c r="AD225" s="104">
        <f>SUM(AD221:AD224)</f>
        <v>24033.915000000001</v>
      </c>
      <c r="AE225" s="104"/>
    </row>
    <row r="226" spans="1:31" ht="15.6" hidden="1" customHeight="1" x14ac:dyDescent="0.25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149" t="s">
        <v>196</v>
      </c>
      <c r="S226" s="66" t="s">
        <v>0</v>
      </c>
      <c r="T226" s="1">
        <f>SUM(T227:T229)</f>
        <v>150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62">
        <f t="shared" si="81"/>
        <v>150</v>
      </c>
      <c r="AB226" s="61">
        <v>2018</v>
      </c>
      <c r="AC226" s="9"/>
      <c r="AD226" s="104"/>
      <c r="AE226" s="104"/>
    </row>
    <row r="227" spans="1:31" ht="15.6" hidden="1" customHeight="1" x14ac:dyDescent="0.25">
      <c r="A227" s="57" t="s">
        <v>18</v>
      </c>
      <c r="B227" s="57" t="s">
        <v>18</v>
      </c>
      <c r="C227" s="57" t="s">
        <v>22</v>
      </c>
      <c r="D227" s="57" t="s">
        <v>18</v>
      </c>
      <c r="E227" s="57" t="s">
        <v>21</v>
      </c>
      <c r="F227" s="57" t="s">
        <v>18</v>
      </c>
      <c r="G227" s="57" t="s">
        <v>22</v>
      </c>
      <c r="H227" s="57" t="s">
        <v>19</v>
      </c>
      <c r="I227" s="57" t="s">
        <v>24</v>
      </c>
      <c r="J227" s="57" t="s">
        <v>18</v>
      </c>
      <c r="K227" s="57" t="s">
        <v>18</v>
      </c>
      <c r="L227" s="57" t="s">
        <v>20</v>
      </c>
      <c r="M227" s="57" t="s">
        <v>19</v>
      </c>
      <c r="N227" s="57" t="s">
        <v>18</v>
      </c>
      <c r="O227" s="57" t="s">
        <v>24</v>
      </c>
      <c r="P227" s="57" t="s">
        <v>22</v>
      </c>
      <c r="Q227" s="57" t="s">
        <v>45</v>
      </c>
      <c r="R227" s="149"/>
      <c r="S227" s="66" t="s">
        <v>0</v>
      </c>
      <c r="T227" s="1">
        <v>60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2">
        <f t="shared" si="81"/>
        <v>60</v>
      </c>
      <c r="AB227" s="61">
        <v>2018</v>
      </c>
      <c r="AC227" s="9"/>
      <c r="AD227" s="104"/>
      <c r="AE227" s="104"/>
    </row>
    <row r="228" spans="1:31" ht="15.6" hidden="1" customHeight="1" x14ac:dyDescent="0.25">
      <c r="A228" s="57" t="s">
        <v>18</v>
      </c>
      <c r="B228" s="57" t="s">
        <v>18</v>
      </c>
      <c r="C228" s="57" t="s">
        <v>22</v>
      </c>
      <c r="D228" s="57" t="s">
        <v>18</v>
      </c>
      <c r="E228" s="57" t="s">
        <v>21</v>
      </c>
      <c r="F228" s="57" t="s">
        <v>18</v>
      </c>
      <c r="G228" s="57" t="s">
        <v>22</v>
      </c>
      <c r="H228" s="57" t="s">
        <v>19</v>
      </c>
      <c r="I228" s="57" t="s">
        <v>24</v>
      </c>
      <c r="J228" s="57" t="s">
        <v>18</v>
      </c>
      <c r="K228" s="57" t="s">
        <v>18</v>
      </c>
      <c r="L228" s="57" t="s">
        <v>20</v>
      </c>
      <c r="M228" s="57" t="s">
        <v>37</v>
      </c>
      <c r="N228" s="57" t="s">
        <v>18</v>
      </c>
      <c r="O228" s="57" t="s">
        <v>24</v>
      </c>
      <c r="P228" s="57" t="s">
        <v>22</v>
      </c>
      <c r="Q228" s="57" t="s">
        <v>46</v>
      </c>
      <c r="R228" s="149"/>
      <c r="S228" s="66" t="s">
        <v>0</v>
      </c>
      <c r="T228" s="1">
        <v>30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2">
        <f t="shared" si="81"/>
        <v>30</v>
      </c>
      <c r="AB228" s="61">
        <v>2018</v>
      </c>
      <c r="AC228" s="9"/>
      <c r="AD228" s="104"/>
      <c r="AE228" s="104"/>
    </row>
    <row r="229" spans="1:31" ht="15.6" hidden="1" customHeight="1" x14ac:dyDescent="0.25">
      <c r="A229" s="57" t="s">
        <v>18</v>
      </c>
      <c r="B229" s="57" t="s">
        <v>18</v>
      </c>
      <c r="C229" s="57" t="s">
        <v>22</v>
      </c>
      <c r="D229" s="57" t="s">
        <v>18</v>
      </c>
      <c r="E229" s="57" t="s">
        <v>21</v>
      </c>
      <c r="F229" s="57" t="s">
        <v>18</v>
      </c>
      <c r="G229" s="57" t="s">
        <v>22</v>
      </c>
      <c r="H229" s="57" t="s">
        <v>19</v>
      </c>
      <c r="I229" s="57" t="s">
        <v>24</v>
      </c>
      <c r="J229" s="57" t="s">
        <v>18</v>
      </c>
      <c r="K229" s="57" t="s">
        <v>18</v>
      </c>
      <c r="L229" s="57" t="s">
        <v>20</v>
      </c>
      <c r="M229" s="57" t="s">
        <v>37</v>
      </c>
      <c r="N229" s="57" t="s">
        <v>18</v>
      </c>
      <c r="O229" s="57" t="s">
        <v>24</v>
      </c>
      <c r="P229" s="57" t="s">
        <v>22</v>
      </c>
      <c r="Q229" s="57" t="s">
        <v>39</v>
      </c>
      <c r="R229" s="149"/>
      <c r="S229" s="66" t="s">
        <v>0</v>
      </c>
      <c r="T229" s="1">
        <v>60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2">
        <f t="shared" si="81"/>
        <v>60</v>
      </c>
      <c r="AB229" s="61">
        <v>2018</v>
      </c>
      <c r="AC229" s="9"/>
      <c r="AD229" s="104"/>
      <c r="AE229" s="104"/>
    </row>
    <row r="230" spans="1:31" ht="46.9" hidden="1" customHeight="1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83" t="s">
        <v>197</v>
      </c>
      <c r="S230" s="87" t="s">
        <v>50</v>
      </c>
      <c r="T230" s="44">
        <v>7</v>
      </c>
      <c r="U230" s="44">
        <v>0</v>
      </c>
      <c r="V230" s="44">
        <v>0</v>
      </c>
      <c r="W230" s="44">
        <v>0</v>
      </c>
      <c r="X230" s="44">
        <v>0</v>
      </c>
      <c r="Y230" s="44">
        <v>0</v>
      </c>
      <c r="Z230" s="44">
        <v>0</v>
      </c>
      <c r="AA230" s="52">
        <f t="shared" si="81"/>
        <v>7</v>
      </c>
      <c r="AB230" s="41">
        <v>2018</v>
      </c>
      <c r="AC230" s="9"/>
      <c r="AD230" s="104"/>
      <c r="AE230" s="104"/>
    </row>
    <row r="231" spans="1:31" ht="15.6" hidden="1" customHeight="1" x14ac:dyDescent="0.25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149" t="s">
        <v>198</v>
      </c>
      <c r="S231" s="66" t="s">
        <v>0</v>
      </c>
      <c r="T231" s="1">
        <f>SUM(T232:T235)</f>
        <v>1031.5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2">
        <f t="shared" si="81"/>
        <v>1031.5</v>
      </c>
      <c r="AB231" s="61">
        <v>2018</v>
      </c>
      <c r="AC231" s="9"/>
      <c r="AD231" s="104"/>
      <c r="AE231" s="104"/>
    </row>
    <row r="232" spans="1:31" ht="15.6" hidden="1" customHeight="1" x14ac:dyDescent="0.25">
      <c r="A232" s="57" t="s">
        <v>18</v>
      </c>
      <c r="B232" s="57" t="s">
        <v>18</v>
      </c>
      <c r="C232" s="57" t="s">
        <v>22</v>
      </c>
      <c r="D232" s="57" t="s">
        <v>18</v>
      </c>
      <c r="E232" s="57" t="s">
        <v>21</v>
      </c>
      <c r="F232" s="57" t="s">
        <v>18</v>
      </c>
      <c r="G232" s="57" t="s">
        <v>22</v>
      </c>
      <c r="H232" s="57" t="s">
        <v>19</v>
      </c>
      <c r="I232" s="57" t="s">
        <v>24</v>
      </c>
      <c r="J232" s="57" t="s">
        <v>18</v>
      </c>
      <c r="K232" s="57" t="s">
        <v>18</v>
      </c>
      <c r="L232" s="57" t="s">
        <v>20</v>
      </c>
      <c r="M232" s="57" t="s">
        <v>19</v>
      </c>
      <c r="N232" s="57" t="s">
        <v>18</v>
      </c>
      <c r="O232" s="57" t="s">
        <v>24</v>
      </c>
      <c r="P232" s="57" t="s">
        <v>22</v>
      </c>
      <c r="Q232" s="57" t="s">
        <v>45</v>
      </c>
      <c r="R232" s="149"/>
      <c r="S232" s="66" t="s">
        <v>0</v>
      </c>
      <c r="T232" s="1">
        <v>400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62">
        <f t="shared" si="81"/>
        <v>400</v>
      </c>
      <c r="AB232" s="61">
        <v>2018</v>
      </c>
      <c r="AC232" s="9"/>
      <c r="AD232" s="104"/>
      <c r="AE232" s="104"/>
    </row>
    <row r="233" spans="1:31" ht="15.6" hidden="1" customHeight="1" x14ac:dyDescent="0.25">
      <c r="A233" s="57" t="s">
        <v>18</v>
      </c>
      <c r="B233" s="57" t="s">
        <v>18</v>
      </c>
      <c r="C233" s="57" t="s">
        <v>22</v>
      </c>
      <c r="D233" s="57" t="s">
        <v>18</v>
      </c>
      <c r="E233" s="57" t="s">
        <v>21</v>
      </c>
      <c r="F233" s="57" t="s">
        <v>18</v>
      </c>
      <c r="G233" s="57" t="s">
        <v>22</v>
      </c>
      <c r="H233" s="57" t="s">
        <v>19</v>
      </c>
      <c r="I233" s="57" t="s">
        <v>24</v>
      </c>
      <c r="J233" s="57" t="s">
        <v>18</v>
      </c>
      <c r="K233" s="57" t="s">
        <v>18</v>
      </c>
      <c r="L233" s="57" t="s">
        <v>20</v>
      </c>
      <c r="M233" s="57" t="s">
        <v>37</v>
      </c>
      <c r="N233" s="57" t="s">
        <v>18</v>
      </c>
      <c r="O233" s="57" t="s">
        <v>24</v>
      </c>
      <c r="P233" s="57" t="s">
        <v>22</v>
      </c>
      <c r="Q233" s="57" t="s">
        <v>46</v>
      </c>
      <c r="R233" s="149"/>
      <c r="S233" s="66" t="s">
        <v>0</v>
      </c>
      <c r="T233" s="1">
        <v>2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2">
        <f t="shared" si="81"/>
        <v>2</v>
      </c>
      <c r="AB233" s="61">
        <v>2018</v>
      </c>
      <c r="AC233" s="9"/>
      <c r="AD233" s="104"/>
      <c r="AE233" s="104"/>
    </row>
    <row r="234" spans="1:31" ht="15.6" hidden="1" customHeight="1" x14ac:dyDescent="0.25">
      <c r="A234" s="57" t="s">
        <v>18</v>
      </c>
      <c r="B234" s="57" t="s">
        <v>18</v>
      </c>
      <c r="C234" s="57" t="s">
        <v>22</v>
      </c>
      <c r="D234" s="57" t="s">
        <v>18</v>
      </c>
      <c r="E234" s="57" t="s">
        <v>21</v>
      </c>
      <c r="F234" s="57" t="s">
        <v>18</v>
      </c>
      <c r="G234" s="57" t="s">
        <v>22</v>
      </c>
      <c r="H234" s="57" t="s">
        <v>19</v>
      </c>
      <c r="I234" s="57" t="s">
        <v>24</v>
      </c>
      <c r="J234" s="57" t="s">
        <v>18</v>
      </c>
      <c r="K234" s="57" t="s">
        <v>18</v>
      </c>
      <c r="L234" s="57" t="s">
        <v>20</v>
      </c>
      <c r="M234" s="57" t="s">
        <v>37</v>
      </c>
      <c r="N234" s="57" t="s">
        <v>18</v>
      </c>
      <c r="O234" s="57" t="s">
        <v>24</v>
      </c>
      <c r="P234" s="57" t="s">
        <v>22</v>
      </c>
      <c r="Q234" s="57" t="s">
        <v>46</v>
      </c>
      <c r="R234" s="149"/>
      <c r="S234" s="66" t="s">
        <v>0</v>
      </c>
      <c r="T234" s="1">
        <v>229.5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2">
        <f t="shared" si="81"/>
        <v>229.5</v>
      </c>
      <c r="AB234" s="61">
        <v>2018</v>
      </c>
      <c r="AC234" s="9"/>
      <c r="AD234" s="104"/>
      <c r="AE234" s="104"/>
    </row>
    <row r="235" spans="1:31" ht="15.6" hidden="1" customHeight="1" x14ac:dyDescent="0.25">
      <c r="A235" s="57" t="s">
        <v>18</v>
      </c>
      <c r="B235" s="57" t="s">
        <v>18</v>
      </c>
      <c r="C235" s="57" t="s">
        <v>22</v>
      </c>
      <c r="D235" s="57" t="s">
        <v>18</v>
      </c>
      <c r="E235" s="57" t="s">
        <v>21</v>
      </c>
      <c r="F235" s="57" t="s">
        <v>18</v>
      </c>
      <c r="G235" s="57" t="s">
        <v>22</v>
      </c>
      <c r="H235" s="57" t="s">
        <v>19</v>
      </c>
      <c r="I235" s="57" t="s">
        <v>24</v>
      </c>
      <c r="J235" s="57" t="s">
        <v>18</v>
      </c>
      <c r="K235" s="57" t="s">
        <v>18</v>
      </c>
      <c r="L235" s="57" t="s">
        <v>20</v>
      </c>
      <c r="M235" s="57" t="s">
        <v>37</v>
      </c>
      <c r="N235" s="57" t="s">
        <v>18</v>
      </c>
      <c r="O235" s="57" t="s">
        <v>24</v>
      </c>
      <c r="P235" s="57" t="s">
        <v>22</v>
      </c>
      <c r="Q235" s="57" t="s">
        <v>39</v>
      </c>
      <c r="R235" s="149"/>
      <c r="S235" s="66" t="s">
        <v>0</v>
      </c>
      <c r="T235" s="1">
        <v>400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2">
        <f t="shared" si="81"/>
        <v>400</v>
      </c>
      <c r="AB235" s="61">
        <v>2018</v>
      </c>
      <c r="AC235" s="9"/>
      <c r="AD235" s="104"/>
      <c r="AE235" s="104"/>
    </row>
    <row r="236" spans="1:31" ht="45.6" hidden="1" customHeight="1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83" t="s">
        <v>199</v>
      </c>
      <c r="S236" s="87" t="s">
        <v>50</v>
      </c>
      <c r="T236" s="44">
        <v>44</v>
      </c>
      <c r="U236" s="44">
        <v>0</v>
      </c>
      <c r="V236" s="44">
        <v>0</v>
      </c>
      <c r="W236" s="44">
        <v>0</v>
      </c>
      <c r="X236" s="44">
        <v>0</v>
      </c>
      <c r="Y236" s="44">
        <v>0</v>
      </c>
      <c r="Z236" s="44">
        <v>0</v>
      </c>
      <c r="AA236" s="52">
        <f t="shared" si="81"/>
        <v>44</v>
      </c>
      <c r="AB236" s="41">
        <v>2018</v>
      </c>
      <c r="AC236" s="9"/>
      <c r="AD236" s="104"/>
      <c r="AE236" s="104"/>
    </row>
    <row r="237" spans="1:31" ht="15.6" hidden="1" customHeight="1" x14ac:dyDescent="0.25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149" t="s">
        <v>200</v>
      </c>
      <c r="S237" s="66" t="s">
        <v>0</v>
      </c>
      <c r="T237" s="1">
        <f>SUM(T238:T241)</f>
        <v>613.5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2">
        <f t="shared" si="81"/>
        <v>613.5</v>
      </c>
      <c r="AB237" s="61">
        <v>2018</v>
      </c>
      <c r="AC237" s="9"/>
      <c r="AD237" s="104"/>
      <c r="AE237" s="104"/>
    </row>
    <row r="238" spans="1:31" ht="15.6" hidden="1" customHeight="1" x14ac:dyDescent="0.25">
      <c r="A238" s="57" t="s">
        <v>18</v>
      </c>
      <c r="B238" s="57" t="s">
        <v>18</v>
      </c>
      <c r="C238" s="57" t="s">
        <v>22</v>
      </c>
      <c r="D238" s="57" t="s">
        <v>18</v>
      </c>
      <c r="E238" s="57" t="s">
        <v>21</v>
      </c>
      <c r="F238" s="57" t="s">
        <v>18</v>
      </c>
      <c r="G238" s="57" t="s">
        <v>22</v>
      </c>
      <c r="H238" s="57" t="s">
        <v>19</v>
      </c>
      <c r="I238" s="57" t="s">
        <v>24</v>
      </c>
      <c r="J238" s="57" t="s">
        <v>18</v>
      </c>
      <c r="K238" s="57" t="s">
        <v>18</v>
      </c>
      <c r="L238" s="57" t="s">
        <v>20</v>
      </c>
      <c r="M238" s="57" t="s">
        <v>19</v>
      </c>
      <c r="N238" s="57" t="s">
        <v>18</v>
      </c>
      <c r="O238" s="57" t="s">
        <v>24</v>
      </c>
      <c r="P238" s="57" t="s">
        <v>22</v>
      </c>
      <c r="Q238" s="57" t="s">
        <v>45</v>
      </c>
      <c r="R238" s="149"/>
      <c r="S238" s="66" t="s">
        <v>0</v>
      </c>
      <c r="T238" s="1">
        <v>245.4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62">
        <f t="shared" si="81"/>
        <v>245.4</v>
      </c>
      <c r="AB238" s="61">
        <v>2018</v>
      </c>
      <c r="AC238" s="9"/>
      <c r="AD238" s="104"/>
      <c r="AE238" s="104"/>
    </row>
    <row r="239" spans="1:31" ht="15.6" hidden="1" customHeight="1" x14ac:dyDescent="0.25">
      <c r="A239" s="57" t="s">
        <v>18</v>
      </c>
      <c r="B239" s="57" t="s">
        <v>18</v>
      </c>
      <c r="C239" s="57" t="s">
        <v>22</v>
      </c>
      <c r="D239" s="57" t="s">
        <v>18</v>
      </c>
      <c r="E239" s="57" t="s">
        <v>21</v>
      </c>
      <c r="F239" s="57" t="s">
        <v>18</v>
      </c>
      <c r="G239" s="57" t="s">
        <v>22</v>
      </c>
      <c r="H239" s="57" t="s">
        <v>19</v>
      </c>
      <c r="I239" s="57" t="s">
        <v>24</v>
      </c>
      <c r="J239" s="57" t="s">
        <v>18</v>
      </c>
      <c r="K239" s="57" t="s">
        <v>18</v>
      </c>
      <c r="L239" s="57" t="s">
        <v>20</v>
      </c>
      <c r="M239" s="57" t="s">
        <v>37</v>
      </c>
      <c r="N239" s="57" t="s">
        <v>18</v>
      </c>
      <c r="O239" s="57" t="s">
        <v>24</v>
      </c>
      <c r="P239" s="57" t="s">
        <v>22</v>
      </c>
      <c r="Q239" s="57" t="s">
        <v>46</v>
      </c>
      <c r="R239" s="149"/>
      <c r="S239" s="66" t="s">
        <v>0</v>
      </c>
      <c r="T239" s="1">
        <v>60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2">
        <f t="shared" si="81"/>
        <v>60</v>
      </c>
      <c r="AB239" s="61">
        <v>2018</v>
      </c>
      <c r="AC239" s="9"/>
      <c r="AD239" s="104"/>
      <c r="AE239" s="104"/>
    </row>
    <row r="240" spans="1:31" ht="15.6" hidden="1" customHeight="1" x14ac:dyDescent="0.25">
      <c r="A240" s="57" t="s">
        <v>18</v>
      </c>
      <c r="B240" s="57" t="s">
        <v>18</v>
      </c>
      <c r="C240" s="57" t="s">
        <v>22</v>
      </c>
      <c r="D240" s="57" t="s">
        <v>18</v>
      </c>
      <c r="E240" s="57" t="s">
        <v>21</v>
      </c>
      <c r="F240" s="57" t="s">
        <v>18</v>
      </c>
      <c r="G240" s="57" t="s">
        <v>22</v>
      </c>
      <c r="H240" s="57" t="s">
        <v>19</v>
      </c>
      <c r="I240" s="57" t="s">
        <v>24</v>
      </c>
      <c r="J240" s="57" t="s">
        <v>18</v>
      </c>
      <c r="K240" s="57" t="s">
        <v>18</v>
      </c>
      <c r="L240" s="57" t="s">
        <v>20</v>
      </c>
      <c r="M240" s="57" t="s">
        <v>37</v>
      </c>
      <c r="N240" s="57" t="s">
        <v>18</v>
      </c>
      <c r="O240" s="57" t="s">
        <v>24</v>
      </c>
      <c r="P240" s="57" t="s">
        <v>22</v>
      </c>
      <c r="Q240" s="57" t="s">
        <v>46</v>
      </c>
      <c r="R240" s="149"/>
      <c r="S240" s="66" t="s">
        <v>0</v>
      </c>
      <c r="T240" s="1">
        <v>62.7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2">
        <f t="shared" si="81"/>
        <v>62.7</v>
      </c>
      <c r="AB240" s="61">
        <v>2018</v>
      </c>
      <c r="AC240" s="9"/>
      <c r="AD240" s="104"/>
      <c r="AE240" s="104"/>
    </row>
    <row r="241" spans="1:31" ht="15.6" hidden="1" customHeight="1" x14ac:dyDescent="0.25">
      <c r="A241" s="57" t="s">
        <v>18</v>
      </c>
      <c r="B241" s="57" t="s">
        <v>18</v>
      </c>
      <c r="C241" s="57" t="s">
        <v>22</v>
      </c>
      <c r="D241" s="57" t="s">
        <v>18</v>
      </c>
      <c r="E241" s="57" t="s">
        <v>21</v>
      </c>
      <c r="F241" s="57" t="s">
        <v>18</v>
      </c>
      <c r="G241" s="57" t="s">
        <v>22</v>
      </c>
      <c r="H241" s="57" t="s">
        <v>19</v>
      </c>
      <c r="I241" s="57" t="s">
        <v>24</v>
      </c>
      <c r="J241" s="57" t="s">
        <v>18</v>
      </c>
      <c r="K241" s="57" t="s">
        <v>18</v>
      </c>
      <c r="L241" s="57" t="s">
        <v>20</v>
      </c>
      <c r="M241" s="57" t="s">
        <v>37</v>
      </c>
      <c r="N241" s="57" t="s">
        <v>18</v>
      </c>
      <c r="O241" s="57" t="s">
        <v>24</v>
      </c>
      <c r="P241" s="57" t="s">
        <v>22</v>
      </c>
      <c r="Q241" s="57" t="s">
        <v>39</v>
      </c>
      <c r="R241" s="149"/>
      <c r="S241" s="66" t="s">
        <v>0</v>
      </c>
      <c r="T241" s="1">
        <v>245.4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2">
        <f t="shared" si="81"/>
        <v>245.4</v>
      </c>
      <c r="AB241" s="61">
        <v>2018</v>
      </c>
      <c r="AC241" s="9"/>
      <c r="AD241" s="104"/>
      <c r="AE241" s="104"/>
    </row>
    <row r="242" spans="1:31" ht="46.9" hidden="1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83" t="s">
        <v>201</v>
      </c>
      <c r="S242" s="87" t="s">
        <v>50</v>
      </c>
      <c r="T242" s="44">
        <v>26</v>
      </c>
      <c r="U242" s="44">
        <v>0</v>
      </c>
      <c r="V242" s="44">
        <v>0</v>
      </c>
      <c r="W242" s="44">
        <v>0</v>
      </c>
      <c r="X242" s="44">
        <v>0</v>
      </c>
      <c r="Y242" s="44">
        <v>0</v>
      </c>
      <c r="Z242" s="44">
        <v>0</v>
      </c>
      <c r="AA242" s="52">
        <f t="shared" si="81"/>
        <v>26</v>
      </c>
      <c r="AB242" s="41">
        <v>2018</v>
      </c>
      <c r="AC242" s="9"/>
      <c r="AD242" s="104"/>
      <c r="AE242" s="104"/>
    </row>
    <row r="243" spans="1:31" ht="15.6" hidden="1" customHeight="1" x14ac:dyDescent="0.25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149" t="s">
        <v>202</v>
      </c>
      <c r="S243" s="66" t="s">
        <v>0</v>
      </c>
      <c r="T243" s="1">
        <f>SUM(T244:T247)</f>
        <v>194.7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2">
        <f t="shared" si="81"/>
        <v>194.7</v>
      </c>
      <c r="AB243" s="61">
        <v>2018</v>
      </c>
      <c r="AC243" s="9"/>
      <c r="AD243" s="104"/>
      <c r="AE243" s="104"/>
    </row>
    <row r="244" spans="1:31" ht="15.6" hidden="1" customHeight="1" x14ac:dyDescent="0.25">
      <c r="A244" s="57" t="s">
        <v>18</v>
      </c>
      <c r="B244" s="57" t="s">
        <v>18</v>
      </c>
      <c r="C244" s="57" t="s">
        <v>22</v>
      </c>
      <c r="D244" s="57" t="s">
        <v>18</v>
      </c>
      <c r="E244" s="57" t="s">
        <v>21</v>
      </c>
      <c r="F244" s="57" t="s">
        <v>18</v>
      </c>
      <c r="G244" s="57" t="s">
        <v>22</v>
      </c>
      <c r="H244" s="57" t="s">
        <v>19</v>
      </c>
      <c r="I244" s="57" t="s">
        <v>24</v>
      </c>
      <c r="J244" s="57" t="s">
        <v>18</v>
      </c>
      <c r="K244" s="57" t="s">
        <v>18</v>
      </c>
      <c r="L244" s="57" t="s">
        <v>20</v>
      </c>
      <c r="M244" s="57" t="s">
        <v>19</v>
      </c>
      <c r="N244" s="57" t="s">
        <v>18</v>
      </c>
      <c r="O244" s="57" t="s">
        <v>24</v>
      </c>
      <c r="P244" s="57" t="s">
        <v>22</v>
      </c>
      <c r="Q244" s="57" t="s">
        <v>45</v>
      </c>
      <c r="R244" s="149"/>
      <c r="S244" s="66" t="s">
        <v>0</v>
      </c>
      <c r="T244" s="1">
        <v>77.3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62">
        <f t="shared" si="81"/>
        <v>77.3</v>
      </c>
      <c r="AB244" s="61">
        <v>2018</v>
      </c>
      <c r="AC244" s="9"/>
      <c r="AD244" s="104"/>
      <c r="AE244" s="104"/>
    </row>
    <row r="245" spans="1:31" ht="15.6" hidden="1" customHeight="1" x14ac:dyDescent="0.25">
      <c r="A245" s="57" t="s">
        <v>18</v>
      </c>
      <c r="B245" s="57" t="s">
        <v>18</v>
      </c>
      <c r="C245" s="57" t="s">
        <v>22</v>
      </c>
      <c r="D245" s="57" t="s">
        <v>18</v>
      </c>
      <c r="E245" s="57" t="s">
        <v>21</v>
      </c>
      <c r="F245" s="57" t="s">
        <v>18</v>
      </c>
      <c r="G245" s="57" t="s">
        <v>22</v>
      </c>
      <c r="H245" s="57" t="s">
        <v>19</v>
      </c>
      <c r="I245" s="57" t="s">
        <v>24</v>
      </c>
      <c r="J245" s="57" t="s">
        <v>18</v>
      </c>
      <c r="K245" s="57" t="s">
        <v>18</v>
      </c>
      <c r="L245" s="57" t="s">
        <v>20</v>
      </c>
      <c r="M245" s="57" t="s">
        <v>37</v>
      </c>
      <c r="N245" s="57" t="s">
        <v>18</v>
      </c>
      <c r="O245" s="57" t="s">
        <v>24</v>
      </c>
      <c r="P245" s="57" t="s">
        <v>22</v>
      </c>
      <c r="Q245" s="57" t="s">
        <v>46</v>
      </c>
      <c r="R245" s="149"/>
      <c r="S245" s="66" t="s">
        <v>0</v>
      </c>
      <c r="T245" s="1">
        <v>20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62">
        <f t="shared" si="81"/>
        <v>20</v>
      </c>
      <c r="AB245" s="61">
        <v>2018</v>
      </c>
      <c r="AC245" s="9"/>
      <c r="AD245" s="104"/>
      <c r="AE245" s="104"/>
    </row>
    <row r="246" spans="1:31" ht="15.6" hidden="1" customHeight="1" x14ac:dyDescent="0.25">
      <c r="A246" s="57" t="s">
        <v>18</v>
      </c>
      <c r="B246" s="57" t="s">
        <v>18</v>
      </c>
      <c r="C246" s="57" t="s">
        <v>22</v>
      </c>
      <c r="D246" s="57" t="s">
        <v>18</v>
      </c>
      <c r="E246" s="57" t="s">
        <v>21</v>
      </c>
      <c r="F246" s="57" t="s">
        <v>18</v>
      </c>
      <c r="G246" s="57" t="s">
        <v>22</v>
      </c>
      <c r="H246" s="57" t="s">
        <v>19</v>
      </c>
      <c r="I246" s="57" t="s">
        <v>24</v>
      </c>
      <c r="J246" s="57" t="s">
        <v>18</v>
      </c>
      <c r="K246" s="57" t="s">
        <v>18</v>
      </c>
      <c r="L246" s="57" t="s">
        <v>20</v>
      </c>
      <c r="M246" s="57" t="s">
        <v>37</v>
      </c>
      <c r="N246" s="57" t="s">
        <v>18</v>
      </c>
      <c r="O246" s="57" t="s">
        <v>24</v>
      </c>
      <c r="P246" s="57" t="s">
        <v>22</v>
      </c>
      <c r="Q246" s="57" t="s">
        <v>46</v>
      </c>
      <c r="R246" s="149"/>
      <c r="S246" s="66" t="s">
        <v>0</v>
      </c>
      <c r="T246" s="1">
        <v>19.5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2">
        <f t="shared" si="81"/>
        <v>19.5</v>
      </c>
      <c r="AB246" s="61">
        <v>2018</v>
      </c>
      <c r="AC246" s="9"/>
      <c r="AD246" s="104"/>
      <c r="AE246" s="104"/>
    </row>
    <row r="247" spans="1:31" ht="15.6" hidden="1" customHeight="1" x14ac:dyDescent="0.25">
      <c r="A247" s="57" t="s">
        <v>18</v>
      </c>
      <c r="B247" s="57" t="s">
        <v>18</v>
      </c>
      <c r="C247" s="57" t="s">
        <v>22</v>
      </c>
      <c r="D247" s="57" t="s">
        <v>18</v>
      </c>
      <c r="E247" s="57" t="s">
        <v>21</v>
      </c>
      <c r="F247" s="57" t="s">
        <v>18</v>
      </c>
      <c r="G247" s="57" t="s">
        <v>22</v>
      </c>
      <c r="H247" s="57" t="s">
        <v>19</v>
      </c>
      <c r="I247" s="57" t="s">
        <v>24</v>
      </c>
      <c r="J247" s="57" t="s">
        <v>18</v>
      </c>
      <c r="K247" s="57" t="s">
        <v>18</v>
      </c>
      <c r="L247" s="57" t="s">
        <v>20</v>
      </c>
      <c r="M247" s="57" t="s">
        <v>37</v>
      </c>
      <c r="N247" s="57" t="s">
        <v>18</v>
      </c>
      <c r="O247" s="57" t="s">
        <v>24</v>
      </c>
      <c r="P247" s="57" t="s">
        <v>22</v>
      </c>
      <c r="Q247" s="57" t="s">
        <v>39</v>
      </c>
      <c r="R247" s="149"/>
      <c r="S247" s="66" t="s">
        <v>0</v>
      </c>
      <c r="T247" s="1">
        <v>77.900000000000006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2">
        <f t="shared" si="81"/>
        <v>77.900000000000006</v>
      </c>
      <c r="AB247" s="61">
        <v>2018</v>
      </c>
      <c r="AC247" s="9"/>
      <c r="AD247" s="104"/>
      <c r="AE247" s="104"/>
    </row>
    <row r="248" spans="1:31" s="75" customFormat="1" ht="31.15" hidden="1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83" t="s">
        <v>203</v>
      </c>
      <c r="S248" s="55" t="s">
        <v>50</v>
      </c>
      <c r="T248" s="44">
        <v>1</v>
      </c>
      <c r="U248" s="44">
        <v>0</v>
      </c>
      <c r="V248" s="44">
        <v>0</v>
      </c>
      <c r="W248" s="44">
        <v>0</v>
      </c>
      <c r="X248" s="44">
        <v>0</v>
      </c>
      <c r="Y248" s="44">
        <v>0</v>
      </c>
      <c r="Z248" s="44">
        <v>0</v>
      </c>
      <c r="AA248" s="52">
        <f t="shared" si="81"/>
        <v>1</v>
      </c>
      <c r="AB248" s="41">
        <v>2018</v>
      </c>
      <c r="AC248" s="73"/>
      <c r="AD248" s="88"/>
      <c r="AE248" s="88"/>
    </row>
    <row r="249" spans="1:31" ht="31.15" hidden="1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83" t="s">
        <v>204</v>
      </c>
      <c r="S249" s="87" t="s">
        <v>182</v>
      </c>
      <c r="T249" s="3">
        <v>15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6">
        <f t="shared" si="81"/>
        <v>15</v>
      </c>
      <c r="AB249" s="41">
        <v>2018</v>
      </c>
      <c r="AC249" s="9"/>
      <c r="AD249" s="104"/>
      <c r="AE249" s="104"/>
    </row>
    <row r="250" spans="1:31" ht="15.6" hidden="1" customHeight="1" x14ac:dyDescent="0.2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149" t="s">
        <v>205</v>
      </c>
      <c r="S250" s="66" t="s">
        <v>0</v>
      </c>
      <c r="T250" s="1">
        <f>SUM(T251:T254)</f>
        <v>119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2">
        <f t="shared" si="81"/>
        <v>119</v>
      </c>
      <c r="AB250" s="61">
        <v>2018</v>
      </c>
      <c r="AC250" s="9"/>
      <c r="AD250" s="104"/>
      <c r="AE250" s="104"/>
    </row>
    <row r="251" spans="1:31" ht="15.6" hidden="1" customHeight="1" x14ac:dyDescent="0.25">
      <c r="A251" s="57" t="s">
        <v>18</v>
      </c>
      <c r="B251" s="57" t="s">
        <v>18</v>
      </c>
      <c r="C251" s="57" t="s">
        <v>22</v>
      </c>
      <c r="D251" s="57" t="s">
        <v>18</v>
      </c>
      <c r="E251" s="57" t="s">
        <v>24</v>
      </c>
      <c r="F251" s="57" t="s">
        <v>18</v>
      </c>
      <c r="G251" s="57" t="s">
        <v>43</v>
      </c>
      <c r="H251" s="57" t="s">
        <v>19</v>
      </c>
      <c r="I251" s="57" t="s">
        <v>24</v>
      </c>
      <c r="J251" s="57" t="s">
        <v>18</v>
      </c>
      <c r="K251" s="57" t="s">
        <v>18</v>
      </c>
      <c r="L251" s="57" t="s">
        <v>20</v>
      </c>
      <c r="M251" s="57" t="s">
        <v>19</v>
      </c>
      <c r="N251" s="57" t="s">
        <v>18</v>
      </c>
      <c r="O251" s="57" t="s">
        <v>24</v>
      </c>
      <c r="P251" s="57" t="s">
        <v>22</v>
      </c>
      <c r="Q251" s="57" t="s">
        <v>45</v>
      </c>
      <c r="R251" s="149"/>
      <c r="S251" s="66" t="s">
        <v>0</v>
      </c>
      <c r="T251" s="1">
        <v>47.6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62">
        <f t="shared" si="81"/>
        <v>47.6</v>
      </c>
      <c r="AB251" s="61">
        <v>2018</v>
      </c>
      <c r="AC251" s="9"/>
      <c r="AD251" s="104"/>
      <c r="AE251" s="104"/>
    </row>
    <row r="252" spans="1:31" ht="15.6" hidden="1" customHeight="1" x14ac:dyDescent="0.25">
      <c r="A252" s="57" t="s">
        <v>18</v>
      </c>
      <c r="B252" s="57" t="s">
        <v>18</v>
      </c>
      <c r="C252" s="57" t="s">
        <v>22</v>
      </c>
      <c r="D252" s="57" t="s">
        <v>18</v>
      </c>
      <c r="E252" s="57" t="s">
        <v>24</v>
      </c>
      <c r="F252" s="57" t="s">
        <v>18</v>
      </c>
      <c r="G252" s="57" t="s">
        <v>43</v>
      </c>
      <c r="H252" s="57" t="s">
        <v>19</v>
      </c>
      <c r="I252" s="57" t="s">
        <v>24</v>
      </c>
      <c r="J252" s="57" t="s">
        <v>18</v>
      </c>
      <c r="K252" s="57" t="s">
        <v>18</v>
      </c>
      <c r="L252" s="57" t="s">
        <v>20</v>
      </c>
      <c r="M252" s="57" t="s">
        <v>37</v>
      </c>
      <c r="N252" s="57" t="s">
        <v>18</v>
      </c>
      <c r="O252" s="57" t="s">
        <v>24</v>
      </c>
      <c r="P252" s="57" t="s">
        <v>22</v>
      </c>
      <c r="Q252" s="57" t="s">
        <v>46</v>
      </c>
      <c r="R252" s="149"/>
      <c r="S252" s="66" t="s">
        <v>0</v>
      </c>
      <c r="T252" s="1">
        <v>11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62">
        <f t="shared" si="81"/>
        <v>11</v>
      </c>
      <c r="AB252" s="61">
        <v>2018</v>
      </c>
      <c r="AC252" s="9"/>
      <c r="AD252" s="104"/>
      <c r="AE252" s="104"/>
    </row>
    <row r="253" spans="1:31" ht="15.6" hidden="1" customHeight="1" x14ac:dyDescent="0.25">
      <c r="A253" s="57" t="s">
        <v>18</v>
      </c>
      <c r="B253" s="57" t="s">
        <v>18</v>
      </c>
      <c r="C253" s="57" t="s">
        <v>22</v>
      </c>
      <c r="D253" s="57" t="s">
        <v>18</v>
      </c>
      <c r="E253" s="57" t="s">
        <v>24</v>
      </c>
      <c r="F253" s="57" t="s">
        <v>18</v>
      </c>
      <c r="G253" s="57" t="s">
        <v>43</v>
      </c>
      <c r="H253" s="57" t="s">
        <v>19</v>
      </c>
      <c r="I253" s="57" t="s">
        <v>24</v>
      </c>
      <c r="J253" s="57" t="s">
        <v>18</v>
      </c>
      <c r="K253" s="57" t="s">
        <v>18</v>
      </c>
      <c r="L253" s="57" t="s">
        <v>20</v>
      </c>
      <c r="M253" s="57" t="s">
        <v>37</v>
      </c>
      <c r="N253" s="57" t="s">
        <v>18</v>
      </c>
      <c r="O253" s="57" t="s">
        <v>24</v>
      </c>
      <c r="P253" s="57" t="s">
        <v>22</v>
      </c>
      <c r="Q253" s="57" t="s">
        <v>46</v>
      </c>
      <c r="R253" s="149"/>
      <c r="S253" s="66" t="s">
        <v>0</v>
      </c>
      <c r="T253" s="1">
        <v>12.8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2">
        <f t="shared" si="81"/>
        <v>12.8</v>
      </c>
      <c r="AB253" s="61">
        <v>2018</v>
      </c>
      <c r="AC253" s="9"/>
      <c r="AD253" s="104"/>
      <c r="AE253" s="104"/>
    </row>
    <row r="254" spans="1:31" ht="15.6" hidden="1" customHeight="1" x14ac:dyDescent="0.25">
      <c r="A254" s="57" t="s">
        <v>18</v>
      </c>
      <c r="B254" s="57" t="s">
        <v>18</v>
      </c>
      <c r="C254" s="57" t="s">
        <v>22</v>
      </c>
      <c r="D254" s="57" t="s">
        <v>18</v>
      </c>
      <c r="E254" s="57" t="s">
        <v>24</v>
      </c>
      <c r="F254" s="57" t="s">
        <v>18</v>
      </c>
      <c r="G254" s="57" t="s">
        <v>43</v>
      </c>
      <c r="H254" s="57" t="s">
        <v>19</v>
      </c>
      <c r="I254" s="57" t="s">
        <v>24</v>
      </c>
      <c r="J254" s="57" t="s">
        <v>18</v>
      </c>
      <c r="K254" s="57" t="s">
        <v>18</v>
      </c>
      <c r="L254" s="57" t="s">
        <v>20</v>
      </c>
      <c r="M254" s="57" t="s">
        <v>37</v>
      </c>
      <c r="N254" s="57" t="s">
        <v>18</v>
      </c>
      <c r="O254" s="57" t="s">
        <v>24</v>
      </c>
      <c r="P254" s="57" t="s">
        <v>22</v>
      </c>
      <c r="Q254" s="57" t="s">
        <v>39</v>
      </c>
      <c r="R254" s="149"/>
      <c r="S254" s="66" t="s">
        <v>0</v>
      </c>
      <c r="T254" s="1">
        <v>47.6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2">
        <f t="shared" si="81"/>
        <v>47.6</v>
      </c>
      <c r="AB254" s="61">
        <v>2018</v>
      </c>
      <c r="AC254" s="9"/>
      <c r="AD254" s="104"/>
      <c r="AE254" s="104"/>
    </row>
    <row r="255" spans="1:31" s="75" customFormat="1" ht="46.9" hidden="1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81" t="s">
        <v>206</v>
      </c>
      <c r="S255" s="92" t="s">
        <v>181</v>
      </c>
      <c r="T255" s="3">
        <v>65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52">
        <f t="shared" si="81"/>
        <v>65</v>
      </c>
      <c r="AB255" s="41">
        <v>2018</v>
      </c>
      <c r="AC255" s="73"/>
      <c r="AD255" s="88"/>
      <c r="AE255" s="88"/>
    </row>
    <row r="256" spans="1:31" x14ac:dyDescent="0.25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149" t="s">
        <v>140</v>
      </c>
      <c r="S256" s="66" t="s">
        <v>0</v>
      </c>
      <c r="T256" s="62">
        <f>SUM(T257:T260)</f>
        <v>3440.1</v>
      </c>
      <c r="U256" s="62">
        <f>SUM(U259:U262)</f>
        <v>3636.2999999999997</v>
      </c>
      <c r="V256" s="62">
        <f>SUM(V257:V262)</f>
        <v>1375.3000000000002</v>
      </c>
      <c r="W256" s="62">
        <f t="shared" ref="W256:Z256" si="82">SUM(W257:W260)</f>
        <v>0</v>
      </c>
      <c r="X256" s="62">
        <f t="shared" si="82"/>
        <v>0</v>
      </c>
      <c r="Y256" s="62">
        <f t="shared" si="82"/>
        <v>0</v>
      </c>
      <c r="Z256" s="62">
        <f t="shared" si="82"/>
        <v>0</v>
      </c>
      <c r="AA256" s="62">
        <f t="shared" si="81"/>
        <v>8451.7000000000007</v>
      </c>
      <c r="AB256" s="61">
        <v>2020</v>
      </c>
      <c r="AC256" s="128"/>
      <c r="AD256" s="104"/>
      <c r="AE256" s="104"/>
    </row>
    <row r="257" spans="1:31" x14ac:dyDescent="0.25">
      <c r="A257" s="57" t="s">
        <v>18</v>
      </c>
      <c r="B257" s="57" t="s">
        <v>18</v>
      </c>
      <c r="C257" s="57" t="s">
        <v>24</v>
      </c>
      <c r="D257" s="57" t="s">
        <v>18</v>
      </c>
      <c r="E257" s="57" t="s">
        <v>18</v>
      </c>
      <c r="F257" s="57" t="s">
        <v>18</v>
      </c>
      <c r="G257" s="57" t="s">
        <v>18</v>
      </c>
      <c r="H257" s="57" t="s">
        <v>19</v>
      </c>
      <c r="I257" s="57" t="s">
        <v>24</v>
      </c>
      <c r="J257" s="57" t="s">
        <v>18</v>
      </c>
      <c r="K257" s="57" t="s">
        <v>18</v>
      </c>
      <c r="L257" s="57" t="s">
        <v>20</v>
      </c>
      <c r="M257" s="57" t="s">
        <v>19</v>
      </c>
      <c r="N257" s="57" t="s">
        <v>18</v>
      </c>
      <c r="O257" s="57" t="s">
        <v>24</v>
      </c>
      <c r="P257" s="57" t="s">
        <v>22</v>
      </c>
      <c r="Q257" s="57" t="s">
        <v>45</v>
      </c>
      <c r="R257" s="149"/>
      <c r="S257" s="66" t="s">
        <v>0</v>
      </c>
      <c r="T257" s="1">
        <f>T266+T272+T277+T282+T287+T292</f>
        <v>1609.7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2">
        <f t="shared" si="81"/>
        <v>1609.7</v>
      </c>
      <c r="AB257" s="61">
        <v>2018</v>
      </c>
      <c r="AC257" s="128"/>
      <c r="AD257" s="104"/>
      <c r="AE257" s="104"/>
    </row>
    <row r="258" spans="1:31" ht="15.6" hidden="1" customHeight="1" x14ac:dyDescent="0.25">
      <c r="A258" s="57" t="s">
        <v>18</v>
      </c>
      <c r="B258" s="57" t="s">
        <v>18</v>
      </c>
      <c r="C258" s="57" t="s">
        <v>24</v>
      </c>
      <c r="D258" s="57" t="s">
        <v>18</v>
      </c>
      <c r="E258" s="57" t="s">
        <v>18</v>
      </c>
      <c r="F258" s="57" t="s">
        <v>18</v>
      </c>
      <c r="G258" s="57" t="s">
        <v>18</v>
      </c>
      <c r="H258" s="57" t="s">
        <v>19</v>
      </c>
      <c r="I258" s="57" t="s">
        <v>24</v>
      </c>
      <c r="J258" s="57" t="s">
        <v>18</v>
      </c>
      <c r="K258" s="57" t="s">
        <v>18</v>
      </c>
      <c r="L258" s="57" t="s">
        <v>20</v>
      </c>
      <c r="M258" s="57" t="s">
        <v>37</v>
      </c>
      <c r="N258" s="57" t="s">
        <v>18</v>
      </c>
      <c r="O258" s="57" t="s">
        <v>43</v>
      </c>
      <c r="P258" s="57" t="s">
        <v>22</v>
      </c>
      <c r="Q258" s="57" t="s">
        <v>184</v>
      </c>
      <c r="R258" s="149"/>
      <c r="S258" s="66" t="s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2">
        <f t="shared" si="81"/>
        <v>0</v>
      </c>
      <c r="AB258" s="61">
        <v>2018</v>
      </c>
      <c r="AC258" s="128"/>
      <c r="AD258" s="104"/>
      <c r="AE258" s="104"/>
    </row>
    <row r="259" spans="1:31" x14ac:dyDescent="0.25">
      <c r="A259" s="57" t="s">
        <v>18</v>
      </c>
      <c r="B259" s="57" t="s">
        <v>18</v>
      </c>
      <c r="C259" s="57" t="s">
        <v>24</v>
      </c>
      <c r="D259" s="57" t="s">
        <v>18</v>
      </c>
      <c r="E259" s="57" t="s">
        <v>18</v>
      </c>
      <c r="F259" s="57" t="s">
        <v>18</v>
      </c>
      <c r="G259" s="57" t="s">
        <v>18</v>
      </c>
      <c r="H259" s="57" t="s">
        <v>19</v>
      </c>
      <c r="I259" s="57" t="s">
        <v>24</v>
      </c>
      <c r="J259" s="57" t="s">
        <v>18</v>
      </c>
      <c r="K259" s="57" t="s">
        <v>18</v>
      </c>
      <c r="L259" s="57" t="s">
        <v>20</v>
      </c>
      <c r="M259" s="57" t="s">
        <v>37</v>
      </c>
      <c r="N259" s="57" t="s">
        <v>18</v>
      </c>
      <c r="O259" s="57" t="s">
        <v>24</v>
      </c>
      <c r="P259" s="57" t="s">
        <v>22</v>
      </c>
      <c r="Q259" s="57" t="s">
        <v>46</v>
      </c>
      <c r="R259" s="149"/>
      <c r="S259" s="66" t="s">
        <v>0</v>
      </c>
      <c r="T259" s="1">
        <f>T268+T273+T278+T283+T288+T293</f>
        <v>441.79999999999995</v>
      </c>
      <c r="U259" s="1">
        <v>394.2</v>
      </c>
      <c r="V259" s="1">
        <v>235.1</v>
      </c>
      <c r="W259" s="1">
        <v>0</v>
      </c>
      <c r="X259" s="1">
        <v>0</v>
      </c>
      <c r="Y259" s="1">
        <v>0</v>
      </c>
      <c r="Z259" s="1">
        <v>0</v>
      </c>
      <c r="AA259" s="62">
        <f t="shared" si="81"/>
        <v>1071.0999999999999</v>
      </c>
      <c r="AB259" s="61">
        <v>2020</v>
      </c>
      <c r="AC259" s="128"/>
      <c r="AD259" s="104"/>
      <c r="AE259" s="104"/>
    </row>
    <row r="260" spans="1:31" x14ac:dyDescent="0.25">
      <c r="A260" s="57" t="s">
        <v>18</v>
      </c>
      <c r="B260" s="57" t="s">
        <v>18</v>
      </c>
      <c r="C260" s="57" t="s">
        <v>24</v>
      </c>
      <c r="D260" s="57" t="s">
        <v>18</v>
      </c>
      <c r="E260" s="57" t="s">
        <v>18</v>
      </c>
      <c r="F260" s="57" t="s">
        <v>18</v>
      </c>
      <c r="G260" s="57" t="s">
        <v>18</v>
      </c>
      <c r="H260" s="57" t="s">
        <v>19</v>
      </c>
      <c r="I260" s="57" t="s">
        <v>24</v>
      </c>
      <c r="J260" s="57" t="s">
        <v>18</v>
      </c>
      <c r="K260" s="57" t="s">
        <v>18</v>
      </c>
      <c r="L260" s="57" t="s">
        <v>20</v>
      </c>
      <c r="M260" s="57" t="s">
        <v>37</v>
      </c>
      <c r="N260" s="57" t="s">
        <v>18</v>
      </c>
      <c r="O260" s="57" t="s">
        <v>24</v>
      </c>
      <c r="P260" s="57" t="s">
        <v>22</v>
      </c>
      <c r="Q260" s="57" t="s">
        <v>39</v>
      </c>
      <c r="R260" s="149"/>
      <c r="S260" s="66" t="s">
        <v>0</v>
      </c>
      <c r="T260" s="1">
        <v>1388.6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62">
        <f t="shared" si="81"/>
        <v>1388.6</v>
      </c>
      <c r="AB260" s="61">
        <v>2018</v>
      </c>
      <c r="AC260" s="128"/>
      <c r="AD260" s="104"/>
      <c r="AE260" s="104"/>
    </row>
    <row r="261" spans="1:31" x14ac:dyDescent="0.25">
      <c r="A261" s="57" t="s">
        <v>18</v>
      </c>
      <c r="B261" s="57" t="s">
        <v>18</v>
      </c>
      <c r="C261" s="57" t="s">
        <v>24</v>
      </c>
      <c r="D261" s="57" t="s">
        <v>18</v>
      </c>
      <c r="E261" s="57" t="s">
        <v>18</v>
      </c>
      <c r="F261" s="57" t="s">
        <v>18</v>
      </c>
      <c r="G261" s="57" t="s">
        <v>18</v>
      </c>
      <c r="H261" s="57" t="s">
        <v>19</v>
      </c>
      <c r="I261" s="57" t="s">
        <v>24</v>
      </c>
      <c r="J261" s="57" t="s">
        <v>18</v>
      </c>
      <c r="K261" s="57" t="s">
        <v>18</v>
      </c>
      <c r="L261" s="57" t="s">
        <v>20</v>
      </c>
      <c r="M261" s="57" t="s">
        <v>19</v>
      </c>
      <c r="N261" s="57" t="s">
        <v>18</v>
      </c>
      <c r="O261" s="57" t="s">
        <v>24</v>
      </c>
      <c r="P261" s="57" t="s">
        <v>22</v>
      </c>
      <c r="Q261" s="57" t="s">
        <v>18</v>
      </c>
      <c r="R261" s="149"/>
      <c r="S261" s="66" t="s">
        <v>0</v>
      </c>
      <c r="T261" s="1">
        <v>0</v>
      </c>
      <c r="U261" s="1">
        <f>1865.4-95.4</f>
        <v>1770</v>
      </c>
      <c r="V261" s="1">
        <v>600</v>
      </c>
      <c r="W261" s="1">
        <v>0</v>
      </c>
      <c r="X261" s="1">
        <v>0</v>
      </c>
      <c r="Y261" s="1">
        <v>0</v>
      </c>
      <c r="Z261" s="1">
        <v>0</v>
      </c>
      <c r="AA261" s="62">
        <f>SUM(T261:Y261)</f>
        <v>2370</v>
      </c>
      <c r="AB261" s="61">
        <v>2020</v>
      </c>
      <c r="AC261" s="128"/>
      <c r="AD261" s="104"/>
      <c r="AE261" s="104"/>
    </row>
    <row r="262" spans="1:31" x14ac:dyDescent="0.25">
      <c r="A262" s="57" t="s">
        <v>18</v>
      </c>
      <c r="B262" s="57" t="s">
        <v>18</v>
      </c>
      <c r="C262" s="57" t="s">
        <v>24</v>
      </c>
      <c r="D262" s="57" t="s">
        <v>18</v>
      </c>
      <c r="E262" s="57" t="s">
        <v>18</v>
      </c>
      <c r="F262" s="57" t="s">
        <v>18</v>
      </c>
      <c r="G262" s="57" t="s">
        <v>18</v>
      </c>
      <c r="H262" s="57" t="s">
        <v>19</v>
      </c>
      <c r="I262" s="57" t="s">
        <v>24</v>
      </c>
      <c r="J262" s="57" t="s">
        <v>18</v>
      </c>
      <c r="K262" s="57" t="s">
        <v>18</v>
      </c>
      <c r="L262" s="57" t="s">
        <v>20</v>
      </c>
      <c r="M262" s="57" t="s">
        <v>37</v>
      </c>
      <c r="N262" s="57" t="s">
        <v>18</v>
      </c>
      <c r="O262" s="57" t="s">
        <v>24</v>
      </c>
      <c r="P262" s="57" t="s">
        <v>22</v>
      </c>
      <c r="Q262" s="57" t="s">
        <v>18</v>
      </c>
      <c r="R262" s="149"/>
      <c r="S262" s="66" t="s">
        <v>0</v>
      </c>
      <c r="T262" s="1">
        <v>0</v>
      </c>
      <c r="U262" s="1">
        <v>1472.1</v>
      </c>
      <c r="V262" s="1">
        <v>540.20000000000005</v>
      </c>
      <c r="W262" s="1">
        <v>0</v>
      </c>
      <c r="X262" s="1">
        <v>0</v>
      </c>
      <c r="Y262" s="1">
        <v>0</v>
      </c>
      <c r="Z262" s="1">
        <v>0</v>
      </c>
      <c r="AA262" s="62">
        <f t="shared" ref="AA262" si="83">SUM(T262:Y262)</f>
        <v>2012.3</v>
      </c>
      <c r="AB262" s="61">
        <v>2020</v>
      </c>
      <c r="AC262" s="128"/>
      <c r="AD262" s="104"/>
      <c r="AE262" s="104"/>
    </row>
    <row r="263" spans="1:31" ht="47.25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83" t="s">
        <v>320</v>
      </c>
      <c r="S263" s="65" t="s">
        <v>52</v>
      </c>
      <c r="T263" s="3">
        <v>0.2</v>
      </c>
      <c r="U263" s="3">
        <v>1.2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6">
        <f t="shared" si="81"/>
        <v>1.4</v>
      </c>
      <c r="AB263" s="41">
        <v>2019</v>
      </c>
      <c r="AC263" s="132"/>
      <c r="AD263" s="104"/>
      <c r="AE263" s="104"/>
    </row>
    <row r="264" spans="1:31" ht="47.25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83" t="s">
        <v>321</v>
      </c>
      <c r="S264" s="87" t="s">
        <v>50</v>
      </c>
      <c r="T264" s="44">
        <v>6</v>
      </c>
      <c r="U264" s="44">
        <v>5</v>
      </c>
      <c r="V264" s="44">
        <v>1</v>
      </c>
      <c r="W264" s="44">
        <v>0</v>
      </c>
      <c r="X264" s="44">
        <v>0</v>
      </c>
      <c r="Y264" s="44">
        <v>0</v>
      </c>
      <c r="Z264" s="44">
        <v>0</v>
      </c>
      <c r="AA264" s="52">
        <f t="shared" si="81"/>
        <v>12</v>
      </c>
      <c r="AB264" s="41">
        <v>2020</v>
      </c>
      <c r="AC264" s="132"/>
      <c r="AD264" s="104"/>
      <c r="AE264" s="104"/>
    </row>
    <row r="265" spans="1:31" ht="16.350000000000001" hidden="1" customHeight="1" x14ac:dyDescent="0.25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149" t="s">
        <v>207</v>
      </c>
      <c r="S265" s="66" t="s">
        <v>0</v>
      </c>
      <c r="T265" s="1">
        <f>SUM(T266:T269)</f>
        <v>943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2">
        <f t="shared" si="81"/>
        <v>943</v>
      </c>
      <c r="AB265" s="61">
        <v>2018</v>
      </c>
      <c r="AC265" s="9"/>
      <c r="AD265" s="104"/>
      <c r="AE265" s="104"/>
    </row>
    <row r="266" spans="1:31" ht="16.350000000000001" hidden="1" customHeight="1" x14ac:dyDescent="0.25">
      <c r="A266" s="57" t="s">
        <v>18</v>
      </c>
      <c r="B266" s="57" t="s">
        <v>18</v>
      </c>
      <c r="C266" s="57" t="s">
        <v>24</v>
      </c>
      <c r="D266" s="57" t="s">
        <v>18</v>
      </c>
      <c r="E266" s="57" t="s">
        <v>24</v>
      </c>
      <c r="F266" s="57" t="s">
        <v>18</v>
      </c>
      <c r="G266" s="57" t="s">
        <v>43</v>
      </c>
      <c r="H266" s="57" t="s">
        <v>19</v>
      </c>
      <c r="I266" s="57" t="s">
        <v>24</v>
      </c>
      <c r="J266" s="57" t="s">
        <v>18</v>
      </c>
      <c r="K266" s="57" t="s">
        <v>18</v>
      </c>
      <c r="L266" s="57" t="s">
        <v>20</v>
      </c>
      <c r="M266" s="57" t="s">
        <v>19</v>
      </c>
      <c r="N266" s="57" t="s">
        <v>18</v>
      </c>
      <c r="O266" s="57" t="s">
        <v>24</v>
      </c>
      <c r="P266" s="57" t="s">
        <v>22</v>
      </c>
      <c r="Q266" s="57" t="s">
        <v>45</v>
      </c>
      <c r="R266" s="149"/>
      <c r="S266" s="66" t="s">
        <v>0</v>
      </c>
      <c r="T266" s="1">
        <v>377.2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62">
        <f t="shared" si="81"/>
        <v>377.2</v>
      </c>
      <c r="AB266" s="61">
        <v>2018</v>
      </c>
      <c r="AC266" s="9"/>
      <c r="AD266" s="104"/>
      <c r="AE266" s="104"/>
    </row>
    <row r="267" spans="1:31" ht="16.350000000000001" hidden="1" customHeight="1" x14ac:dyDescent="0.25">
      <c r="A267" s="57" t="s">
        <v>18</v>
      </c>
      <c r="B267" s="57" t="s">
        <v>18</v>
      </c>
      <c r="C267" s="57" t="s">
        <v>24</v>
      </c>
      <c r="D267" s="57" t="s">
        <v>18</v>
      </c>
      <c r="E267" s="57" t="s">
        <v>24</v>
      </c>
      <c r="F267" s="57" t="s">
        <v>18</v>
      </c>
      <c r="G267" s="57" t="s">
        <v>43</v>
      </c>
      <c r="H267" s="57" t="s">
        <v>19</v>
      </c>
      <c r="I267" s="57" t="s">
        <v>24</v>
      </c>
      <c r="J267" s="57" t="s">
        <v>18</v>
      </c>
      <c r="K267" s="57" t="s">
        <v>18</v>
      </c>
      <c r="L267" s="57" t="s">
        <v>20</v>
      </c>
      <c r="M267" s="57" t="s">
        <v>37</v>
      </c>
      <c r="N267" s="57" t="s">
        <v>18</v>
      </c>
      <c r="O267" s="57" t="s">
        <v>43</v>
      </c>
      <c r="P267" s="57" t="s">
        <v>22</v>
      </c>
      <c r="Q267" s="57" t="s">
        <v>184</v>
      </c>
      <c r="R267" s="149"/>
      <c r="S267" s="66" t="s">
        <v>0</v>
      </c>
      <c r="T267" s="1">
        <v>30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2">
        <f t="shared" si="81"/>
        <v>30</v>
      </c>
      <c r="AB267" s="61">
        <v>2018</v>
      </c>
      <c r="AC267" s="9"/>
      <c r="AD267" s="104"/>
      <c r="AE267" s="104"/>
    </row>
    <row r="268" spans="1:31" ht="16.350000000000001" hidden="1" customHeight="1" x14ac:dyDescent="0.25">
      <c r="A268" s="57" t="s">
        <v>18</v>
      </c>
      <c r="B268" s="57" t="s">
        <v>18</v>
      </c>
      <c r="C268" s="57" t="s">
        <v>24</v>
      </c>
      <c r="D268" s="57" t="s">
        <v>18</v>
      </c>
      <c r="E268" s="57" t="s">
        <v>24</v>
      </c>
      <c r="F268" s="57" t="s">
        <v>18</v>
      </c>
      <c r="G268" s="57" t="s">
        <v>43</v>
      </c>
      <c r="H268" s="57" t="s">
        <v>19</v>
      </c>
      <c r="I268" s="57" t="s">
        <v>24</v>
      </c>
      <c r="J268" s="57" t="s">
        <v>18</v>
      </c>
      <c r="K268" s="57" t="s">
        <v>18</v>
      </c>
      <c r="L268" s="57" t="s">
        <v>20</v>
      </c>
      <c r="M268" s="57" t="s">
        <v>37</v>
      </c>
      <c r="N268" s="57" t="s">
        <v>18</v>
      </c>
      <c r="O268" s="57" t="s">
        <v>24</v>
      </c>
      <c r="P268" s="57" t="s">
        <v>22</v>
      </c>
      <c r="Q268" s="57" t="s">
        <v>46</v>
      </c>
      <c r="R268" s="149"/>
      <c r="S268" s="66" t="s">
        <v>0</v>
      </c>
      <c r="T268" s="1">
        <v>113.2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2">
        <f t="shared" si="81"/>
        <v>113.2</v>
      </c>
      <c r="AB268" s="61">
        <v>2018</v>
      </c>
      <c r="AC268" s="9"/>
      <c r="AD268" s="104"/>
      <c r="AE268" s="104"/>
    </row>
    <row r="269" spans="1:31" ht="16.350000000000001" hidden="1" customHeight="1" x14ac:dyDescent="0.25">
      <c r="A269" s="57" t="s">
        <v>18</v>
      </c>
      <c r="B269" s="57" t="s">
        <v>18</v>
      </c>
      <c r="C269" s="57" t="s">
        <v>24</v>
      </c>
      <c r="D269" s="57" t="s">
        <v>18</v>
      </c>
      <c r="E269" s="57" t="s">
        <v>24</v>
      </c>
      <c r="F269" s="57" t="s">
        <v>18</v>
      </c>
      <c r="G269" s="57" t="s">
        <v>43</v>
      </c>
      <c r="H269" s="57" t="s">
        <v>19</v>
      </c>
      <c r="I269" s="57" t="s">
        <v>24</v>
      </c>
      <c r="J269" s="57" t="s">
        <v>18</v>
      </c>
      <c r="K269" s="57" t="s">
        <v>18</v>
      </c>
      <c r="L269" s="57" t="s">
        <v>20</v>
      </c>
      <c r="M269" s="57" t="s">
        <v>37</v>
      </c>
      <c r="N269" s="57" t="s">
        <v>18</v>
      </c>
      <c r="O269" s="57" t="s">
        <v>24</v>
      </c>
      <c r="P269" s="57" t="s">
        <v>22</v>
      </c>
      <c r="Q269" s="57" t="s">
        <v>39</v>
      </c>
      <c r="R269" s="149"/>
      <c r="S269" s="66" t="s">
        <v>0</v>
      </c>
      <c r="T269" s="1">
        <v>422.6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2">
        <f t="shared" si="81"/>
        <v>422.6</v>
      </c>
      <c r="AB269" s="61">
        <v>2018</v>
      </c>
      <c r="AC269" s="9"/>
      <c r="AD269" s="104"/>
      <c r="AE269" s="104"/>
    </row>
    <row r="270" spans="1:31" ht="33.6" hidden="1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91" t="s">
        <v>208</v>
      </c>
      <c r="S270" s="87" t="s">
        <v>181</v>
      </c>
      <c r="T270" s="3">
        <v>1046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6">
        <f t="shared" si="81"/>
        <v>1046</v>
      </c>
      <c r="AB270" s="41">
        <v>2018</v>
      </c>
      <c r="AC270" s="9"/>
      <c r="AD270" s="104"/>
      <c r="AE270" s="104"/>
    </row>
    <row r="271" spans="1:31" ht="21.75" hidden="1" customHeight="1" x14ac:dyDescent="0.25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149" t="s">
        <v>209</v>
      </c>
      <c r="S271" s="66" t="s">
        <v>0</v>
      </c>
      <c r="T271" s="1">
        <f>SUM(T272:T274)</f>
        <v>835.4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62">
        <f>SUM(T271:Y271)</f>
        <v>835.4</v>
      </c>
      <c r="AB271" s="61">
        <v>2018</v>
      </c>
      <c r="AC271" s="9"/>
      <c r="AD271" s="104"/>
      <c r="AE271" s="104"/>
    </row>
    <row r="272" spans="1:31" ht="22.9" hidden="1" customHeight="1" x14ac:dyDescent="0.25">
      <c r="A272" s="57" t="s">
        <v>18</v>
      </c>
      <c r="B272" s="57" t="s">
        <v>18</v>
      </c>
      <c r="C272" s="57" t="s">
        <v>24</v>
      </c>
      <c r="D272" s="57" t="s">
        <v>18</v>
      </c>
      <c r="E272" s="57" t="s">
        <v>21</v>
      </c>
      <c r="F272" s="57" t="s">
        <v>18</v>
      </c>
      <c r="G272" s="57" t="s">
        <v>22</v>
      </c>
      <c r="H272" s="57" t="s">
        <v>19</v>
      </c>
      <c r="I272" s="57" t="s">
        <v>24</v>
      </c>
      <c r="J272" s="57" t="s">
        <v>18</v>
      </c>
      <c r="K272" s="57" t="s">
        <v>18</v>
      </c>
      <c r="L272" s="57" t="s">
        <v>20</v>
      </c>
      <c r="M272" s="57" t="s">
        <v>19</v>
      </c>
      <c r="N272" s="57" t="s">
        <v>18</v>
      </c>
      <c r="O272" s="57" t="s">
        <v>24</v>
      </c>
      <c r="P272" s="57" t="s">
        <v>22</v>
      </c>
      <c r="Q272" s="57" t="s">
        <v>45</v>
      </c>
      <c r="R272" s="149"/>
      <c r="S272" s="66" t="s">
        <v>0</v>
      </c>
      <c r="T272" s="1">
        <v>334.2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2">
        <f>SUM(T272:Y272)</f>
        <v>334.2</v>
      </c>
      <c r="AB272" s="61">
        <v>2018</v>
      </c>
      <c r="AC272" s="9"/>
      <c r="AD272" s="104"/>
      <c r="AE272" s="104"/>
    </row>
    <row r="273" spans="1:31" ht="22.15" hidden="1" customHeight="1" x14ac:dyDescent="0.25">
      <c r="A273" s="57" t="s">
        <v>18</v>
      </c>
      <c r="B273" s="57" t="s">
        <v>18</v>
      </c>
      <c r="C273" s="57" t="s">
        <v>24</v>
      </c>
      <c r="D273" s="57" t="s">
        <v>18</v>
      </c>
      <c r="E273" s="57" t="s">
        <v>21</v>
      </c>
      <c r="F273" s="57" t="s">
        <v>18</v>
      </c>
      <c r="G273" s="57" t="s">
        <v>22</v>
      </c>
      <c r="H273" s="57" t="s">
        <v>19</v>
      </c>
      <c r="I273" s="57" t="s">
        <v>24</v>
      </c>
      <c r="J273" s="57" t="s">
        <v>18</v>
      </c>
      <c r="K273" s="57" t="s">
        <v>18</v>
      </c>
      <c r="L273" s="57" t="s">
        <v>20</v>
      </c>
      <c r="M273" s="57" t="s">
        <v>37</v>
      </c>
      <c r="N273" s="57" t="s">
        <v>18</v>
      </c>
      <c r="O273" s="57" t="s">
        <v>24</v>
      </c>
      <c r="P273" s="57" t="s">
        <v>22</v>
      </c>
      <c r="Q273" s="57" t="s">
        <v>46</v>
      </c>
      <c r="R273" s="149"/>
      <c r="S273" s="66" t="s">
        <v>0</v>
      </c>
      <c r="T273" s="1">
        <v>83.5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2">
        <f>SUM(T273:Y273)</f>
        <v>83.5</v>
      </c>
      <c r="AB273" s="61">
        <v>2018</v>
      </c>
      <c r="AC273" s="9"/>
      <c r="AD273" s="104"/>
      <c r="AE273" s="104"/>
    </row>
    <row r="274" spans="1:31" ht="21.75" hidden="1" customHeight="1" x14ac:dyDescent="0.25">
      <c r="A274" s="57" t="s">
        <v>18</v>
      </c>
      <c r="B274" s="57" t="s">
        <v>18</v>
      </c>
      <c r="C274" s="57" t="s">
        <v>24</v>
      </c>
      <c r="D274" s="57" t="s">
        <v>18</v>
      </c>
      <c r="E274" s="57" t="s">
        <v>21</v>
      </c>
      <c r="F274" s="57" t="s">
        <v>18</v>
      </c>
      <c r="G274" s="57" t="s">
        <v>22</v>
      </c>
      <c r="H274" s="57" t="s">
        <v>19</v>
      </c>
      <c r="I274" s="57" t="s">
        <v>24</v>
      </c>
      <c r="J274" s="57" t="s">
        <v>18</v>
      </c>
      <c r="K274" s="57" t="s">
        <v>18</v>
      </c>
      <c r="L274" s="57" t="s">
        <v>20</v>
      </c>
      <c r="M274" s="57" t="s">
        <v>37</v>
      </c>
      <c r="N274" s="57" t="s">
        <v>18</v>
      </c>
      <c r="O274" s="57" t="s">
        <v>24</v>
      </c>
      <c r="P274" s="57" t="s">
        <v>22</v>
      </c>
      <c r="Q274" s="57" t="s">
        <v>39</v>
      </c>
      <c r="R274" s="149"/>
      <c r="S274" s="66" t="s">
        <v>0</v>
      </c>
      <c r="T274" s="1">
        <v>417.7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2">
        <f>SUM(T274:Y274)</f>
        <v>417.7</v>
      </c>
      <c r="AB274" s="61">
        <v>2018</v>
      </c>
      <c r="AC274" s="9"/>
      <c r="AD274" s="104"/>
      <c r="AE274" s="104"/>
    </row>
    <row r="275" spans="1:31" ht="47.45" hidden="1" customHeight="1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91" t="s">
        <v>210</v>
      </c>
      <c r="S275" s="87" t="s">
        <v>8</v>
      </c>
      <c r="T275" s="44">
        <v>1</v>
      </c>
      <c r="U275" s="44">
        <v>0</v>
      </c>
      <c r="V275" s="44">
        <v>0</v>
      </c>
      <c r="W275" s="44">
        <v>0</v>
      </c>
      <c r="X275" s="44">
        <v>0</v>
      </c>
      <c r="Y275" s="44">
        <v>0</v>
      </c>
      <c r="Z275" s="44">
        <v>0</v>
      </c>
      <c r="AA275" s="6">
        <f>SUM(T275:Y275)</f>
        <v>1</v>
      </c>
      <c r="AB275" s="41">
        <v>2018</v>
      </c>
      <c r="AC275" s="9"/>
      <c r="AD275" s="104"/>
      <c r="AE275" s="104"/>
    </row>
    <row r="276" spans="1:31" ht="16.350000000000001" hidden="1" customHeight="1" x14ac:dyDescent="0.25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149" t="s">
        <v>211</v>
      </c>
      <c r="S276" s="66" t="s">
        <v>0</v>
      </c>
      <c r="T276" s="1">
        <f>SUM(T277:T279)</f>
        <v>952.5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62">
        <f t="shared" ref="AA276:AA305" si="84">SUM(T276:Y276)</f>
        <v>952.5</v>
      </c>
      <c r="AB276" s="61">
        <v>2018</v>
      </c>
      <c r="AC276" s="9"/>
      <c r="AD276" s="104"/>
      <c r="AE276" s="104"/>
    </row>
    <row r="277" spans="1:31" ht="16.350000000000001" hidden="1" customHeight="1" x14ac:dyDescent="0.25">
      <c r="A277" s="57" t="s">
        <v>18</v>
      </c>
      <c r="B277" s="57" t="s">
        <v>18</v>
      </c>
      <c r="C277" s="57" t="s">
        <v>24</v>
      </c>
      <c r="D277" s="57" t="s">
        <v>18</v>
      </c>
      <c r="E277" s="57" t="s">
        <v>21</v>
      </c>
      <c r="F277" s="57" t="s">
        <v>18</v>
      </c>
      <c r="G277" s="57" t="s">
        <v>22</v>
      </c>
      <c r="H277" s="57" t="s">
        <v>19</v>
      </c>
      <c r="I277" s="57" t="s">
        <v>24</v>
      </c>
      <c r="J277" s="57" t="s">
        <v>18</v>
      </c>
      <c r="K277" s="57" t="s">
        <v>18</v>
      </c>
      <c r="L277" s="57" t="s">
        <v>20</v>
      </c>
      <c r="M277" s="57" t="s">
        <v>19</v>
      </c>
      <c r="N277" s="57" t="s">
        <v>18</v>
      </c>
      <c r="O277" s="57" t="s">
        <v>24</v>
      </c>
      <c r="P277" s="57" t="s">
        <v>22</v>
      </c>
      <c r="Q277" s="57" t="s">
        <v>45</v>
      </c>
      <c r="R277" s="149"/>
      <c r="S277" s="66" t="s">
        <v>0</v>
      </c>
      <c r="T277" s="1">
        <v>381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2">
        <f t="shared" si="84"/>
        <v>381</v>
      </c>
      <c r="AB277" s="61">
        <v>2018</v>
      </c>
      <c r="AC277" s="9"/>
      <c r="AD277" s="104"/>
      <c r="AE277" s="104"/>
    </row>
    <row r="278" spans="1:31" ht="16.350000000000001" hidden="1" customHeight="1" x14ac:dyDescent="0.25">
      <c r="A278" s="57" t="s">
        <v>18</v>
      </c>
      <c r="B278" s="57" t="s">
        <v>18</v>
      </c>
      <c r="C278" s="57" t="s">
        <v>24</v>
      </c>
      <c r="D278" s="57" t="s">
        <v>18</v>
      </c>
      <c r="E278" s="57" t="s">
        <v>21</v>
      </c>
      <c r="F278" s="57" t="s">
        <v>18</v>
      </c>
      <c r="G278" s="57" t="s">
        <v>22</v>
      </c>
      <c r="H278" s="57" t="s">
        <v>19</v>
      </c>
      <c r="I278" s="57" t="s">
        <v>24</v>
      </c>
      <c r="J278" s="57" t="s">
        <v>18</v>
      </c>
      <c r="K278" s="57" t="s">
        <v>18</v>
      </c>
      <c r="L278" s="57" t="s">
        <v>20</v>
      </c>
      <c r="M278" s="57" t="s">
        <v>37</v>
      </c>
      <c r="N278" s="57" t="s">
        <v>18</v>
      </c>
      <c r="O278" s="57" t="s">
        <v>24</v>
      </c>
      <c r="P278" s="57" t="s">
        <v>22</v>
      </c>
      <c r="Q278" s="57" t="s">
        <v>46</v>
      </c>
      <c r="R278" s="149"/>
      <c r="S278" s="66" t="s">
        <v>0</v>
      </c>
      <c r="T278" s="1">
        <v>114.3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2">
        <f t="shared" si="84"/>
        <v>114.3</v>
      </c>
      <c r="AB278" s="61">
        <v>2018</v>
      </c>
      <c r="AC278" s="9"/>
      <c r="AD278" s="104"/>
      <c r="AE278" s="104"/>
    </row>
    <row r="279" spans="1:31" ht="16.350000000000001" hidden="1" customHeight="1" x14ac:dyDescent="0.25">
      <c r="A279" s="57" t="s">
        <v>18</v>
      </c>
      <c r="B279" s="57" t="s">
        <v>18</v>
      </c>
      <c r="C279" s="57" t="s">
        <v>24</v>
      </c>
      <c r="D279" s="57" t="s">
        <v>18</v>
      </c>
      <c r="E279" s="57" t="s">
        <v>21</v>
      </c>
      <c r="F279" s="57" t="s">
        <v>18</v>
      </c>
      <c r="G279" s="57" t="s">
        <v>22</v>
      </c>
      <c r="H279" s="57" t="s">
        <v>19</v>
      </c>
      <c r="I279" s="57" t="s">
        <v>24</v>
      </c>
      <c r="J279" s="57" t="s">
        <v>18</v>
      </c>
      <c r="K279" s="57" t="s">
        <v>18</v>
      </c>
      <c r="L279" s="57" t="s">
        <v>20</v>
      </c>
      <c r="M279" s="57" t="s">
        <v>37</v>
      </c>
      <c r="N279" s="57" t="s">
        <v>18</v>
      </c>
      <c r="O279" s="57" t="s">
        <v>24</v>
      </c>
      <c r="P279" s="57" t="s">
        <v>22</v>
      </c>
      <c r="Q279" s="57" t="s">
        <v>39</v>
      </c>
      <c r="R279" s="149"/>
      <c r="S279" s="66" t="s">
        <v>0</v>
      </c>
      <c r="T279" s="1">
        <v>457.2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2">
        <f t="shared" si="84"/>
        <v>457.2</v>
      </c>
      <c r="AB279" s="61">
        <v>2018</v>
      </c>
      <c r="AC279" s="9"/>
      <c r="AD279" s="104"/>
      <c r="AE279" s="104"/>
    </row>
    <row r="280" spans="1:31" ht="31.15" hidden="1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83" t="s">
        <v>212</v>
      </c>
      <c r="S280" s="87" t="s">
        <v>181</v>
      </c>
      <c r="T280" s="3">
        <v>151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6">
        <f t="shared" si="84"/>
        <v>151</v>
      </c>
      <c r="AB280" s="41">
        <v>2018</v>
      </c>
      <c r="AC280" s="9"/>
      <c r="AD280" s="104"/>
      <c r="AE280" s="104"/>
    </row>
    <row r="281" spans="1:31" ht="15.6" hidden="1" customHeight="1" x14ac:dyDescent="0.25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149" t="s">
        <v>213</v>
      </c>
      <c r="S281" s="66" t="s">
        <v>0</v>
      </c>
      <c r="T281" s="1">
        <f>SUM(T282:T284)</f>
        <v>435.8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62">
        <f t="shared" si="84"/>
        <v>435.8</v>
      </c>
      <c r="AB281" s="61">
        <v>2018</v>
      </c>
      <c r="AC281" s="9"/>
      <c r="AD281" s="104"/>
      <c r="AE281" s="104"/>
    </row>
    <row r="282" spans="1:31" ht="15.6" hidden="1" customHeight="1" x14ac:dyDescent="0.25">
      <c r="A282" s="57" t="s">
        <v>18</v>
      </c>
      <c r="B282" s="57" t="s">
        <v>18</v>
      </c>
      <c r="C282" s="57" t="s">
        <v>24</v>
      </c>
      <c r="D282" s="57" t="s">
        <v>18</v>
      </c>
      <c r="E282" s="57" t="s">
        <v>21</v>
      </c>
      <c r="F282" s="57" t="s">
        <v>18</v>
      </c>
      <c r="G282" s="57" t="s">
        <v>22</v>
      </c>
      <c r="H282" s="57" t="s">
        <v>19</v>
      </c>
      <c r="I282" s="57" t="s">
        <v>24</v>
      </c>
      <c r="J282" s="57" t="s">
        <v>18</v>
      </c>
      <c r="K282" s="57" t="s">
        <v>18</v>
      </c>
      <c r="L282" s="57" t="s">
        <v>20</v>
      </c>
      <c r="M282" s="57" t="s">
        <v>19</v>
      </c>
      <c r="N282" s="57" t="s">
        <v>18</v>
      </c>
      <c r="O282" s="57" t="s">
        <v>24</v>
      </c>
      <c r="P282" s="57" t="s">
        <v>22</v>
      </c>
      <c r="Q282" s="57" t="s">
        <v>45</v>
      </c>
      <c r="R282" s="149"/>
      <c r="S282" s="66" t="s">
        <v>0</v>
      </c>
      <c r="T282" s="1">
        <v>174.3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2">
        <f t="shared" si="84"/>
        <v>174.3</v>
      </c>
      <c r="AB282" s="61">
        <v>2018</v>
      </c>
      <c r="AC282" s="9"/>
      <c r="AD282" s="104"/>
      <c r="AE282" s="104"/>
    </row>
    <row r="283" spans="1:31" ht="15.6" hidden="1" customHeight="1" x14ac:dyDescent="0.25">
      <c r="A283" s="57" t="s">
        <v>18</v>
      </c>
      <c r="B283" s="57" t="s">
        <v>18</v>
      </c>
      <c r="C283" s="57" t="s">
        <v>24</v>
      </c>
      <c r="D283" s="57" t="s">
        <v>18</v>
      </c>
      <c r="E283" s="57" t="s">
        <v>21</v>
      </c>
      <c r="F283" s="57" t="s">
        <v>18</v>
      </c>
      <c r="G283" s="57" t="s">
        <v>22</v>
      </c>
      <c r="H283" s="57" t="s">
        <v>19</v>
      </c>
      <c r="I283" s="57" t="s">
        <v>24</v>
      </c>
      <c r="J283" s="57" t="s">
        <v>18</v>
      </c>
      <c r="K283" s="57" t="s">
        <v>18</v>
      </c>
      <c r="L283" s="57" t="s">
        <v>20</v>
      </c>
      <c r="M283" s="57" t="s">
        <v>37</v>
      </c>
      <c r="N283" s="57" t="s">
        <v>18</v>
      </c>
      <c r="O283" s="57" t="s">
        <v>24</v>
      </c>
      <c r="P283" s="57" t="s">
        <v>22</v>
      </c>
      <c r="Q283" s="57" t="s">
        <v>46</v>
      </c>
      <c r="R283" s="149"/>
      <c r="S283" s="66" t="s">
        <v>0</v>
      </c>
      <c r="T283" s="1">
        <v>45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2">
        <f t="shared" si="84"/>
        <v>45</v>
      </c>
      <c r="AB283" s="61">
        <v>2018</v>
      </c>
      <c r="AC283" s="9"/>
      <c r="AD283" s="104"/>
      <c r="AE283" s="104"/>
    </row>
    <row r="284" spans="1:31" ht="15.6" hidden="1" customHeight="1" x14ac:dyDescent="0.25">
      <c r="A284" s="57" t="s">
        <v>18</v>
      </c>
      <c r="B284" s="57" t="s">
        <v>18</v>
      </c>
      <c r="C284" s="57" t="s">
        <v>24</v>
      </c>
      <c r="D284" s="57" t="s">
        <v>18</v>
      </c>
      <c r="E284" s="57" t="s">
        <v>21</v>
      </c>
      <c r="F284" s="57" t="s">
        <v>18</v>
      </c>
      <c r="G284" s="57" t="s">
        <v>22</v>
      </c>
      <c r="H284" s="57" t="s">
        <v>19</v>
      </c>
      <c r="I284" s="57" t="s">
        <v>24</v>
      </c>
      <c r="J284" s="57" t="s">
        <v>18</v>
      </c>
      <c r="K284" s="57" t="s">
        <v>18</v>
      </c>
      <c r="L284" s="57" t="s">
        <v>20</v>
      </c>
      <c r="M284" s="57" t="s">
        <v>37</v>
      </c>
      <c r="N284" s="57" t="s">
        <v>18</v>
      </c>
      <c r="O284" s="57" t="s">
        <v>24</v>
      </c>
      <c r="P284" s="57" t="s">
        <v>22</v>
      </c>
      <c r="Q284" s="57" t="s">
        <v>39</v>
      </c>
      <c r="R284" s="149"/>
      <c r="S284" s="66" t="s">
        <v>0</v>
      </c>
      <c r="T284" s="1">
        <v>216.5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2">
        <f t="shared" si="84"/>
        <v>216.5</v>
      </c>
      <c r="AB284" s="61">
        <v>2018</v>
      </c>
      <c r="AC284" s="9"/>
      <c r="AD284" s="104"/>
      <c r="AE284" s="104"/>
    </row>
    <row r="285" spans="1:31" ht="46.9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3" t="s">
        <v>214</v>
      </c>
      <c r="S285" s="87" t="s">
        <v>50</v>
      </c>
      <c r="T285" s="44">
        <v>16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44">
        <v>0</v>
      </c>
      <c r="AA285" s="52">
        <f t="shared" si="84"/>
        <v>16</v>
      </c>
      <c r="AB285" s="41">
        <v>2018</v>
      </c>
      <c r="AC285" s="9"/>
      <c r="AD285" s="104"/>
      <c r="AE285" s="104"/>
    </row>
    <row r="286" spans="1:31" ht="15.6" hidden="1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149" t="s">
        <v>215</v>
      </c>
      <c r="S286" s="66" t="s">
        <v>0</v>
      </c>
      <c r="T286" s="1">
        <f>SUM(T287:T289)</f>
        <v>349.1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62">
        <f t="shared" si="84"/>
        <v>349.1</v>
      </c>
      <c r="AB286" s="61">
        <v>2018</v>
      </c>
      <c r="AC286" s="9"/>
      <c r="AD286" s="104"/>
      <c r="AE286" s="104"/>
    </row>
    <row r="287" spans="1:31" ht="15.6" hidden="1" customHeight="1" x14ac:dyDescent="0.25">
      <c r="A287" s="57" t="s">
        <v>18</v>
      </c>
      <c r="B287" s="57" t="s">
        <v>18</v>
      </c>
      <c r="C287" s="57" t="s">
        <v>24</v>
      </c>
      <c r="D287" s="57" t="s">
        <v>18</v>
      </c>
      <c r="E287" s="57" t="s">
        <v>21</v>
      </c>
      <c r="F287" s="57" t="s">
        <v>18</v>
      </c>
      <c r="G287" s="57" t="s">
        <v>22</v>
      </c>
      <c r="H287" s="57" t="s">
        <v>19</v>
      </c>
      <c r="I287" s="57" t="s">
        <v>24</v>
      </c>
      <c r="J287" s="57" t="s">
        <v>18</v>
      </c>
      <c r="K287" s="57" t="s">
        <v>18</v>
      </c>
      <c r="L287" s="57" t="s">
        <v>20</v>
      </c>
      <c r="M287" s="57" t="s">
        <v>19</v>
      </c>
      <c r="N287" s="57" t="s">
        <v>18</v>
      </c>
      <c r="O287" s="57" t="s">
        <v>24</v>
      </c>
      <c r="P287" s="57" t="s">
        <v>22</v>
      </c>
      <c r="Q287" s="57" t="s">
        <v>45</v>
      </c>
      <c r="R287" s="149"/>
      <c r="S287" s="66" t="s">
        <v>0</v>
      </c>
      <c r="T287" s="1">
        <v>139.6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2">
        <f t="shared" si="84"/>
        <v>139.6</v>
      </c>
      <c r="AB287" s="61">
        <v>2018</v>
      </c>
      <c r="AC287" s="9"/>
      <c r="AD287" s="104"/>
      <c r="AE287" s="104"/>
    </row>
    <row r="288" spans="1:31" ht="15.6" hidden="1" customHeight="1" x14ac:dyDescent="0.25">
      <c r="A288" s="57" t="s">
        <v>18</v>
      </c>
      <c r="B288" s="57" t="s">
        <v>18</v>
      </c>
      <c r="C288" s="57" t="s">
        <v>24</v>
      </c>
      <c r="D288" s="57" t="s">
        <v>18</v>
      </c>
      <c r="E288" s="57" t="s">
        <v>21</v>
      </c>
      <c r="F288" s="57" t="s">
        <v>18</v>
      </c>
      <c r="G288" s="57" t="s">
        <v>22</v>
      </c>
      <c r="H288" s="57" t="s">
        <v>19</v>
      </c>
      <c r="I288" s="57" t="s">
        <v>24</v>
      </c>
      <c r="J288" s="57" t="s">
        <v>18</v>
      </c>
      <c r="K288" s="57" t="s">
        <v>18</v>
      </c>
      <c r="L288" s="57" t="s">
        <v>20</v>
      </c>
      <c r="M288" s="57" t="s">
        <v>37</v>
      </c>
      <c r="N288" s="57" t="s">
        <v>18</v>
      </c>
      <c r="O288" s="57" t="s">
        <v>24</v>
      </c>
      <c r="P288" s="57" t="s">
        <v>22</v>
      </c>
      <c r="Q288" s="57" t="s">
        <v>46</v>
      </c>
      <c r="R288" s="149"/>
      <c r="S288" s="66" t="s">
        <v>0</v>
      </c>
      <c r="T288" s="1">
        <v>34.9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2">
        <f t="shared" si="84"/>
        <v>34.9</v>
      </c>
      <c r="AB288" s="61">
        <v>2018</v>
      </c>
      <c r="AC288" s="9"/>
      <c r="AD288" s="104"/>
      <c r="AE288" s="104"/>
    </row>
    <row r="289" spans="1:31" ht="15.6" hidden="1" customHeight="1" x14ac:dyDescent="0.25">
      <c r="A289" s="57" t="s">
        <v>18</v>
      </c>
      <c r="B289" s="57" t="s">
        <v>18</v>
      </c>
      <c r="C289" s="57" t="s">
        <v>24</v>
      </c>
      <c r="D289" s="57" t="s">
        <v>18</v>
      </c>
      <c r="E289" s="57" t="s">
        <v>21</v>
      </c>
      <c r="F289" s="57" t="s">
        <v>18</v>
      </c>
      <c r="G289" s="57" t="s">
        <v>22</v>
      </c>
      <c r="H289" s="57" t="s">
        <v>19</v>
      </c>
      <c r="I289" s="57" t="s">
        <v>24</v>
      </c>
      <c r="J289" s="57" t="s">
        <v>18</v>
      </c>
      <c r="K289" s="57" t="s">
        <v>18</v>
      </c>
      <c r="L289" s="57" t="s">
        <v>20</v>
      </c>
      <c r="M289" s="57" t="s">
        <v>37</v>
      </c>
      <c r="N289" s="57" t="s">
        <v>18</v>
      </c>
      <c r="O289" s="57" t="s">
        <v>24</v>
      </c>
      <c r="P289" s="57" t="s">
        <v>22</v>
      </c>
      <c r="Q289" s="57" t="s">
        <v>39</v>
      </c>
      <c r="R289" s="149"/>
      <c r="S289" s="66" t="s">
        <v>0</v>
      </c>
      <c r="T289" s="1">
        <v>174.6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2">
        <f t="shared" si="84"/>
        <v>174.6</v>
      </c>
      <c r="AB289" s="61">
        <v>2018</v>
      </c>
      <c r="AC289" s="9"/>
      <c r="AD289" s="104"/>
      <c r="AE289" s="104"/>
    </row>
    <row r="290" spans="1:31" ht="30.6" hidden="1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3" t="s">
        <v>216</v>
      </c>
      <c r="S290" s="87" t="s">
        <v>182</v>
      </c>
      <c r="T290" s="3">
        <v>49.7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84"/>
        <v>49.7</v>
      </c>
      <c r="AB290" s="41">
        <v>2018</v>
      </c>
      <c r="AC290" s="9"/>
      <c r="AD290" s="104"/>
      <c r="AE290" s="104"/>
    </row>
    <row r="291" spans="1:31" ht="15.6" hidden="1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149" t="s">
        <v>217</v>
      </c>
      <c r="S291" s="66" t="s">
        <v>0</v>
      </c>
      <c r="T291" s="1">
        <f>SUM(T292:T294)</f>
        <v>508.5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62">
        <f t="shared" si="84"/>
        <v>508.5</v>
      </c>
      <c r="AB291" s="61">
        <v>2018</v>
      </c>
      <c r="AC291" s="9"/>
      <c r="AD291" s="104"/>
      <c r="AE291" s="104"/>
    </row>
    <row r="292" spans="1:31" ht="15.6" hidden="1" customHeight="1" x14ac:dyDescent="0.25">
      <c r="A292" s="57" t="s">
        <v>18</v>
      </c>
      <c r="B292" s="57" t="s">
        <v>18</v>
      </c>
      <c r="C292" s="57" t="s">
        <v>24</v>
      </c>
      <c r="D292" s="57" t="s">
        <v>18</v>
      </c>
      <c r="E292" s="57" t="s">
        <v>21</v>
      </c>
      <c r="F292" s="57" t="s">
        <v>18</v>
      </c>
      <c r="G292" s="57" t="s">
        <v>22</v>
      </c>
      <c r="H292" s="57" t="s">
        <v>19</v>
      </c>
      <c r="I292" s="57" t="s">
        <v>24</v>
      </c>
      <c r="J292" s="57" t="s">
        <v>18</v>
      </c>
      <c r="K292" s="57" t="s">
        <v>18</v>
      </c>
      <c r="L292" s="57" t="s">
        <v>20</v>
      </c>
      <c r="M292" s="57" t="s">
        <v>19</v>
      </c>
      <c r="N292" s="57" t="s">
        <v>18</v>
      </c>
      <c r="O292" s="57" t="s">
        <v>24</v>
      </c>
      <c r="P292" s="57" t="s">
        <v>22</v>
      </c>
      <c r="Q292" s="57" t="s">
        <v>45</v>
      </c>
      <c r="R292" s="149"/>
      <c r="S292" s="66" t="s">
        <v>0</v>
      </c>
      <c r="T292" s="1">
        <v>203.4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62">
        <f t="shared" si="84"/>
        <v>203.4</v>
      </c>
      <c r="AB292" s="61">
        <v>2018</v>
      </c>
      <c r="AC292" s="9"/>
      <c r="AD292" s="104"/>
      <c r="AE292" s="104"/>
    </row>
    <row r="293" spans="1:31" ht="15.6" hidden="1" customHeight="1" x14ac:dyDescent="0.25">
      <c r="A293" s="57" t="s">
        <v>18</v>
      </c>
      <c r="B293" s="57" t="s">
        <v>18</v>
      </c>
      <c r="C293" s="57" t="s">
        <v>24</v>
      </c>
      <c r="D293" s="57" t="s">
        <v>18</v>
      </c>
      <c r="E293" s="57" t="s">
        <v>21</v>
      </c>
      <c r="F293" s="57" t="s">
        <v>18</v>
      </c>
      <c r="G293" s="57" t="s">
        <v>22</v>
      </c>
      <c r="H293" s="57" t="s">
        <v>19</v>
      </c>
      <c r="I293" s="57" t="s">
        <v>24</v>
      </c>
      <c r="J293" s="57" t="s">
        <v>18</v>
      </c>
      <c r="K293" s="57" t="s">
        <v>18</v>
      </c>
      <c r="L293" s="57" t="s">
        <v>20</v>
      </c>
      <c r="M293" s="57" t="s">
        <v>37</v>
      </c>
      <c r="N293" s="57" t="s">
        <v>18</v>
      </c>
      <c r="O293" s="57" t="s">
        <v>24</v>
      </c>
      <c r="P293" s="57" t="s">
        <v>22</v>
      </c>
      <c r="Q293" s="57" t="s">
        <v>46</v>
      </c>
      <c r="R293" s="149"/>
      <c r="S293" s="66" t="s">
        <v>0</v>
      </c>
      <c r="T293" s="1">
        <v>50.9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2">
        <f t="shared" si="84"/>
        <v>50.9</v>
      </c>
      <c r="AB293" s="61">
        <v>2018</v>
      </c>
      <c r="AC293" s="9"/>
      <c r="AD293" s="104"/>
      <c r="AE293" s="104"/>
    </row>
    <row r="294" spans="1:31" ht="15.6" hidden="1" customHeight="1" x14ac:dyDescent="0.25">
      <c r="A294" s="57" t="s">
        <v>18</v>
      </c>
      <c r="B294" s="57" t="s">
        <v>18</v>
      </c>
      <c r="C294" s="57" t="s">
        <v>24</v>
      </c>
      <c r="D294" s="57" t="s">
        <v>18</v>
      </c>
      <c r="E294" s="57" t="s">
        <v>21</v>
      </c>
      <c r="F294" s="57" t="s">
        <v>18</v>
      </c>
      <c r="G294" s="57" t="s">
        <v>22</v>
      </c>
      <c r="H294" s="57" t="s">
        <v>19</v>
      </c>
      <c r="I294" s="57" t="s">
        <v>24</v>
      </c>
      <c r="J294" s="57" t="s">
        <v>18</v>
      </c>
      <c r="K294" s="57" t="s">
        <v>18</v>
      </c>
      <c r="L294" s="57" t="s">
        <v>20</v>
      </c>
      <c r="M294" s="57" t="s">
        <v>37</v>
      </c>
      <c r="N294" s="57" t="s">
        <v>18</v>
      </c>
      <c r="O294" s="57" t="s">
        <v>24</v>
      </c>
      <c r="P294" s="57" t="s">
        <v>22</v>
      </c>
      <c r="Q294" s="57" t="s">
        <v>39</v>
      </c>
      <c r="R294" s="149"/>
      <c r="S294" s="66" t="s">
        <v>0</v>
      </c>
      <c r="T294" s="1">
        <v>254.2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2">
        <f t="shared" si="84"/>
        <v>254.2</v>
      </c>
      <c r="AB294" s="61">
        <v>2018</v>
      </c>
      <c r="AC294" s="9"/>
      <c r="AD294" s="104"/>
      <c r="AE294" s="104"/>
    </row>
    <row r="295" spans="1:31" ht="31.15" hidden="1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83" t="s">
        <v>218</v>
      </c>
      <c r="S295" s="87" t="s">
        <v>182</v>
      </c>
      <c r="T295" s="3">
        <v>88.3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6">
        <f t="shared" si="84"/>
        <v>88.3</v>
      </c>
      <c r="AB295" s="41">
        <v>2018</v>
      </c>
      <c r="AC295" s="9"/>
      <c r="AD295" s="104"/>
      <c r="AE295" s="104"/>
    </row>
    <row r="296" spans="1:31" ht="15.6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149" t="s">
        <v>140</v>
      </c>
      <c r="S296" s="66" t="s">
        <v>0</v>
      </c>
      <c r="T296" s="62">
        <f>SUM(T297:T300)</f>
        <v>8990.0999999999985</v>
      </c>
      <c r="U296" s="62">
        <f>SUM(U297:U303)</f>
        <v>8489.7000000000007</v>
      </c>
      <c r="V296" s="62">
        <v>0</v>
      </c>
      <c r="W296" s="62">
        <v>0</v>
      </c>
      <c r="X296" s="62">
        <v>0</v>
      </c>
      <c r="Y296" s="62">
        <v>0</v>
      </c>
      <c r="Z296" s="62">
        <v>0</v>
      </c>
      <c r="AA296" s="62">
        <f t="shared" si="84"/>
        <v>17479.8</v>
      </c>
      <c r="AB296" s="61">
        <v>2019</v>
      </c>
      <c r="AC296" s="128"/>
      <c r="AD296" s="104"/>
      <c r="AE296" s="104"/>
    </row>
    <row r="297" spans="1:31" x14ac:dyDescent="0.25">
      <c r="A297" s="57" t="s">
        <v>18</v>
      </c>
      <c r="B297" s="57" t="s">
        <v>18</v>
      </c>
      <c r="C297" s="57" t="s">
        <v>21</v>
      </c>
      <c r="D297" s="57" t="s">
        <v>18</v>
      </c>
      <c r="E297" s="57" t="s">
        <v>18</v>
      </c>
      <c r="F297" s="57" t="s">
        <v>18</v>
      </c>
      <c r="G297" s="57" t="s">
        <v>18</v>
      </c>
      <c r="H297" s="57" t="s">
        <v>19</v>
      </c>
      <c r="I297" s="57" t="s">
        <v>24</v>
      </c>
      <c r="J297" s="57" t="s">
        <v>18</v>
      </c>
      <c r="K297" s="57" t="s">
        <v>18</v>
      </c>
      <c r="L297" s="57" t="s">
        <v>20</v>
      </c>
      <c r="M297" s="57" t="s">
        <v>19</v>
      </c>
      <c r="N297" s="57" t="s">
        <v>18</v>
      </c>
      <c r="O297" s="57" t="s">
        <v>24</v>
      </c>
      <c r="P297" s="57" t="s">
        <v>22</v>
      </c>
      <c r="Q297" s="57" t="s">
        <v>45</v>
      </c>
      <c r="R297" s="149"/>
      <c r="S297" s="66" t="s">
        <v>0</v>
      </c>
      <c r="T297" s="1">
        <f>T307+T313+T320+T327+T334+T341+T348+T355+T362+T369+T375+T381</f>
        <v>3538.9999999999995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2">
        <f t="shared" si="84"/>
        <v>3538.9999999999995</v>
      </c>
      <c r="AB297" s="61">
        <v>2018</v>
      </c>
      <c r="AC297" s="128"/>
      <c r="AD297" s="104"/>
      <c r="AE297" s="104"/>
    </row>
    <row r="298" spans="1:31" x14ac:dyDescent="0.25">
      <c r="A298" s="57" t="s">
        <v>18</v>
      </c>
      <c r="B298" s="57" t="s">
        <v>18</v>
      </c>
      <c r="C298" s="57" t="s">
        <v>21</v>
      </c>
      <c r="D298" s="57" t="s">
        <v>18</v>
      </c>
      <c r="E298" s="57" t="s">
        <v>18</v>
      </c>
      <c r="F298" s="57" t="s">
        <v>18</v>
      </c>
      <c r="G298" s="57" t="s">
        <v>18</v>
      </c>
      <c r="H298" s="57" t="s">
        <v>19</v>
      </c>
      <c r="I298" s="57" t="s">
        <v>24</v>
      </c>
      <c r="J298" s="57" t="s">
        <v>18</v>
      </c>
      <c r="K298" s="57" t="s">
        <v>18</v>
      </c>
      <c r="L298" s="57" t="s">
        <v>20</v>
      </c>
      <c r="M298" s="57" t="s">
        <v>19</v>
      </c>
      <c r="N298" s="57" t="s">
        <v>18</v>
      </c>
      <c r="O298" s="57" t="s">
        <v>43</v>
      </c>
      <c r="P298" s="57" t="s">
        <v>22</v>
      </c>
      <c r="Q298" s="57" t="s">
        <v>184</v>
      </c>
      <c r="R298" s="149"/>
      <c r="S298" s="66" t="s">
        <v>0</v>
      </c>
      <c r="T298" s="1">
        <v>339.9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2">
        <f t="shared" si="84"/>
        <v>339.9</v>
      </c>
      <c r="AB298" s="61">
        <v>2018</v>
      </c>
      <c r="AC298" s="128"/>
      <c r="AD298" s="104"/>
      <c r="AE298" s="104"/>
    </row>
    <row r="299" spans="1:31" x14ac:dyDescent="0.25">
      <c r="A299" s="57" t="s">
        <v>18</v>
      </c>
      <c r="B299" s="57" t="s">
        <v>18</v>
      </c>
      <c r="C299" s="57" t="s">
        <v>21</v>
      </c>
      <c r="D299" s="57" t="s">
        <v>18</v>
      </c>
      <c r="E299" s="57" t="s">
        <v>18</v>
      </c>
      <c r="F299" s="57" t="s">
        <v>18</v>
      </c>
      <c r="G299" s="57" t="s">
        <v>18</v>
      </c>
      <c r="H299" s="57" t="s">
        <v>19</v>
      </c>
      <c r="I299" s="57" t="s">
        <v>24</v>
      </c>
      <c r="J299" s="57" t="s">
        <v>18</v>
      </c>
      <c r="K299" s="57" t="s">
        <v>18</v>
      </c>
      <c r="L299" s="57" t="s">
        <v>20</v>
      </c>
      <c r="M299" s="57" t="s">
        <v>37</v>
      </c>
      <c r="N299" s="57" t="s">
        <v>18</v>
      </c>
      <c r="O299" s="57" t="s">
        <v>24</v>
      </c>
      <c r="P299" s="57" t="s">
        <v>22</v>
      </c>
      <c r="Q299" s="57" t="s">
        <v>46</v>
      </c>
      <c r="R299" s="149"/>
      <c r="S299" s="66" t="s">
        <v>0</v>
      </c>
      <c r="T299" s="1">
        <f>T308+T309+T315+T316+T322+T323+T329+T330+T336+T337+T343+T344+T350+T351+T357+T358+T364+T365+T371+T377+T384+T383</f>
        <v>1913.5</v>
      </c>
      <c r="U299" s="1">
        <v>1308.8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2">
        <f t="shared" si="84"/>
        <v>3222.3</v>
      </c>
      <c r="AB299" s="61">
        <v>2019</v>
      </c>
      <c r="AC299" s="128"/>
      <c r="AD299" s="104"/>
      <c r="AE299" s="104"/>
    </row>
    <row r="300" spans="1:31" x14ac:dyDescent="0.25">
      <c r="A300" s="57" t="s">
        <v>18</v>
      </c>
      <c r="B300" s="57" t="s">
        <v>18</v>
      </c>
      <c r="C300" s="57" t="s">
        <v>21</v>
      </c>
      <c r="D300" s="57" t="s">
        <v>18</v>
      </c>
      <c r="E300" s="57" t="s">
        <v>18</v>
      </c>
      <c r="F300" s="57" t="s">
        <v>18</v>
      </c>
      <c r="G300" s="57" t="s">
        <v>18</v>
      </c>
      <c r="H300" s="57" t="s">
        <v>19</v>
      </c>
      <c r="I300" s="57" t="s">
        <v>24</v>
      </c>
      <c r="J300" s="57" t="s">
        <v>18</v>
      </c>
      <c r="K300" s="57" t="s">
        <v>18</v>
      </c>
      <c r="L300" s="57" t="s">
        <v>20</v>
      </c>
      <c r="M300" s="57" t="s">
        <v>37</v>
      </c>
      <c r="N300" s="57" t="s">
        <v>18</v>
      </c>
      <c r="O300" s="57" t="s">
        <v>24</v>
      </c>
      <c r="P300" s="57" t="s">
        <v>22</v>
      </c>
      <c r="Q300" s="57" t="s">
        <v>39</v>
      </c>
      <c r="R300" s="149"/>
      <c r="S300" s="66" t="s">
        <v>0</v>
      </c>
      <c r="T300" s="1">
        <v>3197.7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62">
        <f t="shared" si="84"/>
        <v>3197.7</v>
      </c>
      <c r="AB300" s="61">
        <v>2018</v>
      </c>
      <c r="AC300" s="128"/>
      <c r="AD300" s="104"/>
      <c r="AE300" s="104"/>
    </row>
    <row r="301" spans="1:31" x14ac:dyDescent="0.25">
      <c r="A301" s="57" t="s">
        <v>18</v>
      </c>
      <c r="B301" s="57" t="s">
        <v>18</v>
      </c>
      <c r="C301" s="57" t="s">
        <v>21</v>
      </c>
      <c r="D301" s="57" t="s">
        <v>18</v>
      </c>
      <c r="E301" s="57" t="s">
        <v>18</v>
      </c>
      <c r="F301" s="57" t="s">
        <v>18</v>
      </c>
      <c r="G301" s="57" t="s">
        <v>18</v>
      </c>
      <c r="H301" s="57" t="s">
        <v>19</v>
      </c>
      <c r="I301" s="57" t="s">
        <v>24</v>
      </c>
      <c r="J301" s="57" t="s">
        <v>18</v>
      </c>
      <c r="K301" s="57" t="s">
        <v>18</v>
      </c>
      <c r="L301" s="57" t="s">
        <v>20</v>
      </c>
      <c r="M301" s="57" t="s">
        <v>19</v>
      </c>
      <c r="N301" s="57" t="s">
        <v>18</v>
      </c>
      <c r="O301" s="57" t="s">
        <v>24</v>
      </c>
      <c r="P301" s="57" t="s">
        <v>22</v>
      </c>
      <c r="Q301" s="57" t="s">
        <v>18</v>
      </c>
      <c r="R301" s="149"/>
      <c r="S301" s="66" t="s">
        <v>0</v>
      </c>
      <c r="T301" s="1">
        <v>0</v>
      </c>
      <c r="U301" s="1">
        <f>4114.8-123.3</f>
        <v>3991.5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62">
        <f t="shared" si="84"/>
        <v>3991.5</v>
      </c>
      <c r="AB301" s="61">
        <v>2019</v>
      </c>
      <c r="AC301" s="128"/>
      <c r="AD301" s="104"/>
      <c r="AE301" s="104"/>
    </row>
    <row r="302" spans="1:31" x14ac:dyDescent="0.25">
      <c r="A302" s="57" t="s">
        <v>18</v>
      </c>
      <c r="B302" s="57" t="s">
        <v>18</v>
      </c>
      <c r="C302" s="57" t="s">
        <v>21</v>
      </c>
      <c r="D302" s="57" t="s">
        <v>18</v>
      </c>
      <c r="E302" s="57" t="s">
        <v>18</v>
      </c>
      <c r="F302" s="57" t="s">
        <v>18</v>
      </c>
      <c r="G302" s="57" t="s">
        <v>18</v>
      </c>
      <c r="H302" s="57" t="s">
        <v>19</v>
      </c>
      <c r="I302" s="57" t="s">
        <v>24</v>
      </c>
      <c r="J302" s="57" t="s">
        <v>18</v>
      </c>
      <c r="K302" s="57" t="s">
        <v>18</v>
      </c>
      <c r="L302" s="57" t="s">
        <v>20</v>
      </c>
      <c r="M302" s="57" t="s">
        <v>37</v>
      </c>
      <c r="N302" s="57" t="s">
        <v>18</v>
      </c>
      <c r="O302" s="57" t="s">
        <v>24</v>
      </c>
      <c r="P302" s="57" t="s">
        <v>22</v>
      </c>
      <c r="Q302" s="57" t="s">
        <v>18</v>
      </c>
      <c r="R302" s="149"/>
      <c r="S302" s="66" t="s">
        <v>0</v>
      </c>
      <c r="T302" s="1">
        <v>0</v>
      </c>
      <c r="U302" s="1">
        <f>3035.2-53.3</f>
        <v>2981.8999999999996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2">
        <f t="shared" ref="AA302" si="85">SUM(T302:Y302)</f>
        <v>2981.8999999999996</v>
      </c>
      <c r="AB302" s="61">
        <v>2019</v>
      </c>
      <c r="AC302" s="128"/>
      <c r="AD302" s="104"/>
      <c r="AE302" s="104"/>
    </row>
    <row r="303" spans="1:31" x14ac:dyDescent="0.25">
      <c r="A303" s="57" t="s">
        <v>18</v>
      </c>
      <c r="B303" s="57" t="s">
        <v>18</v>
      </c>
      <c r="C303" s="57" t="s">
        <v>21</v>
      </c>
      <c r="D303" s="57" t="s">
        <v>18</v>
      </c>
      <c r="E303" s="57" t="s">
        <v>18</v>
      </c>
      <c r="F303" s="57" t="s">
        <v>18</v>
      </c>
      <c r="G303" s="57" t="s">
        <v>18</v>
      </c>
      <c r="H303" s="57" t="s">
        <v>19</v>
      </c>
      <c r="I303" s="57" t="s">
        <v>24</v>
      </c>
      <c r="J303" s="57" t="s">
        <v>18</v>
      </c>
      <c r="K303" s="57" t="s">
        <v>18</v>
      </c>
      <c r="L303" s="57" t="s">
        <v>20</v>
      </c>
      <c r="M303" s="57" t="s">
        <v>19</v>
      </c>
      <c r="N303" s="57" t="s">
        <v>18</v>
      </c>
      <c r="O303" s="57" t="s">
        <v>43</v>
      </c>
      <c r="P303" s="57" t="s">
        <v>22</v>
      </c>
      <c r="Q303" s="57" t="s">
        <v>18</v>
      </c>
      <c r="R303" s="149"/>
      <c r="S303" s="66" t="s">
        <v>0</v>
      </c>
      <c r="T303" s="1">
        <v>0</v>
      </c>
      <c r="U303" s="1">
        <f>215-7.5</f>
        <v>207.5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2">
        <f t="shared" ref="AA303" si="86">SUM(T303:Y303)</f>
        <v>207.5</v>
      </c>
      <c r="AB303" s="61">
        <v>2019</v>
      </c>
      <c r="AC303" s="128"/>
      <c r="AD303" s="104"/>
      <c r="AE303" s="104"/>
    </row>
    <row r="304" spans="1:31" ht="49.9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83" t="s">
        <v>322</v>
      </c>
      <c r="S304" s="65" t="s">
        <v>52</v>
      </c>
      <c r="T304" s="3">
        <v>2.7</v>
      </c>
      <c r="U304" s="3">
        <v>1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6">
        <f t="shared" si="84"/>
        <v>3.7</v>
      </c>
      <c r="AB304" s="41">
        <v>2019</v>
      </c>
      <c r="AC304" s="9"/>
      <c r="AD304" s="104"/>
      <c r="AE304" s="104"/>
    </row>
    <row r="305" spans="1:31" ht="49.15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83" t="s">
        <v>323</v>
      </c>
      <c r="S305" s="87" t="s">
        <v>50</v>
      </c>
      <c r="T305" s="44">
        <v>11</v>
      </c>
      <c r="U305" s="44">
        <v>6</v>
      </c>
      <c r="V305" s="44">
        <v>0</v>
      </c>
      <c r="W305" s="44">
        <v>0</v>
      </c>
      <c r="X305" s="44">
        <v>0</v>
      </c>
      <c r="Y305" s="44">
        <v>0</v>
      </c>
      <c r="Z305" s="44">
        <v>0</v>
      </c>
      <c r="AA305" s="52">
        <f t="shared" si="84"/>
        <v>17</v>
      </c>
      <c r="AB305" s="41">
        <v>2019</v>
      </c>
      <c r="AC305" s="9"/>
      <c r="AD305" s="104"/>
      <c r="AE305" s="104"/>
    </row>
    <row r="306" spans="1:31" ht="15.6" hidden="1" customHeight="1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149" t="s">
        <v>219</v>
      </c>
      <c r="S306" s="66" t="s">
        <v>0</v>
      </c>
      <c r="T306" s="1">
        <f>SUM(T307:T310)</f>
        <v>1027.7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2">
        <f t="shared" si="81"/>
        <v>1027.7</v>
      </c>
      <c r="AB306" s="61">
        <v>2018</v>
      </c>
      <c r="AC306" s="9"/>
      <c r="AD306" s="104"/>
      <c r="AE306" s="104"/>
    </row>
    <row r="307" spans="1:31" ht="15.6" hidden="1" customHeight="1" x14ac:dyDescent="0.25">
      <c r="A307" s="57" t="s">
        <v>18</v>
      </c>
      <c r="B307" s="57" t="s">
        <v>18</v>
      </c>
      <c r="C307" s="57" t="s">
        <v>21</v>
      </c>
      <c r="D307" s="57" t="s">
        <v>18</v>
      </c>
      <c r="E307" s="57" t="s">
        <v>21</v>
      </c>
      <c r="F307" s="57" t="s">
        <v>18</v>
      </c>
      <c r="G307" s="57" t="s">
        <v>22</v>
      </c>
      <c r="H307" s="57" t="s">
        <v>19</v>
      </c>
      <c r="I307" s="57" t="s">
        <v>24</v>
      </c>
      <c r="J307" s="57" t="s">
        <v>18</v>
      </c>
      <c r="K307" s="57" t="s">
        <v>18</v>
      </c>
      <c r="L307" s="57" t="s">
        <v>20</v>
      </c>
      <c r="M307" s="57" t="s">
        <v>19</v>
      </c>
      <c r="N307" s="57" t="s">
        <v>18</v>
      </c>
      <c r="O307" s="57" t="s">
        <v>24</v>
      </c>
      <c r="P307" s="57" t="s">
        <v>22</v>
      </c>
      <c r="Q307" s="57" t="s">
        <v>45</v>
      </c>
      <c r="R307" s="149"/>
      <c r="S307" s="66" t="s">
        <v>0</v>
      </c>
      <c r="T307" s="1">
        <v>400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62">
        <f t="shared" si="81"/>
        <v>400</v>
      </c>
      <c r="AB307" s="61">
        <v>2018</v>
      </c>
      <c r="AC307" s="9"/>
      <c r="AD307" s="104"/>
      <c r="AE307" s="104"/>
    </row>
    <row r="308" spans="1:31" ht="15.6" hidden="1" customHeight="1" x14ac:dyDescent="0.25">
      <c r="A308" s="57" t="s">
        <v>18</v>
      </c>
      <c r="B308" s="57" t="s">
        <v>18</v>
      </c>
      <c r="C308" s="57" t="s">
        <v>21</v>
      </c>
      <c r="D308" s="57" t="s">
        <v>18</v>
      </c>
      <c r="E308" s="57" t="s">
        <v>21</v>
      </c>
      <c r="F308" s="57" t="s">
        <v>18</v>
      </c>
      <c r="G308" s="57" t="s">
        <v>22</v>
      </c>
      <c r="H308" s="57" t="s">
        <v>19</v>
      </c>
      <c r="I308" s="57" t="s">
        <v>24</v>
      </c>
      <c r="J308" s="57" t="s">
        <v>18</v>
      </c>
      <c r="K308" s="57" t="s">
        <v>18</v>
      </c>
      <c r="L308" s="57" t="s">
        <v>20</v>
      </c>
      <c r="M308" s="57" t="s">
        <v>37</v>
      </c>
      <c r="N308" s="57" t="s">
        <v>18</v>
      </c>
      <c r="O308" s="57" t="s">
        <v>24</v>
      </c>
      <c r="P308" s="57" t="s">
        <v>22</v>
      </c>
      <c r="Q308" s="57" t="s">
        <v>46</v>
      </c>
      <c r="R308" s="149"/>
      <c r="S308" s="66" t="s">
        <v>0</v>
      </c>
      <c r="T308" s="1">
        <v>14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2">
        <f t="shared" si="81"/>
        <v>14</v>
      </c>
      <c r="AB308" s="61">
        <v>2018</v>
      </c>
      <c r="AC308" s="9"/>
      <c r="AD308" s="104"/>
      <c r="AE308" s="104"/>
    </row>
    <row r="309" spans="1:31" ht="15.6" hidden="1" customHeight="1" x14ac:dyDescent="0.25">
      <c r="A309" s="57" t="s">
        <v>18</v>
      </c>
      <c r="B309" s="57" t="s">
        <v>18</v>
      </c>
      <c r="C309" s="57" t="s">
        <v>21</v>
      </c>
      <c r="D309" s="57" t="s">
        <v>18</v>
      </c>
      <c r="E309" s="57" t="s">
        <v>21</v>
      </c>
      <c r="F309" s="57" t="s">
        <v>18</v>
      </c>
      <c r="G309" s="57" t="s">
        <v>22</v>
      </c>
      <c r="H309" s="57" t="s">
        <v>19</v>
      </c>
      <c r="I309" s="57" t="s">
        <v>24</v>
      </c>
      <c r="J309" s="57" t="s">
        <v>18</v>
      </c>
      <c r="K309" s="57" t="s">
        <v>18</v>
      </c>
      <c r="L309" s="57" t="s">
        <v>20</v>
      </c>
      <c r="M309" s="57" t="s">
        <v>37</v>
      </c>
      <c r="N309" s="57" t="s">
        <v>18</v>
      </c>
      <c r="O309" s="57" t="s">
        <v>24</v>
      </c>
      <c r="P309" s="57" t="s">
        <v>22</v>
      </c>
      <c r="Q309" s="57" t="s">
        <v>46</v>
      </c>
      <c r="R309" s="149"/>
      <c r="S309" s="66" t="s">
        <v>0</v>
      </c>
      <c r="T309" s="1">
        <v>157.4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2">
        <f t="shared" si="81"/>
        <v>157.4</v>
      </c>
      <c r="AB309" s="61">
        <v>2018</v>
      </c>
      <c r="AC309" s="9"/>
      <c r="AD309" s="104"/>
      <c r="AE309" s="104"/>
    </row>
    <row r="310" spans="1:31" ht="15.6" hidden="1" customHeight="1" x14ac:dyDescent="0.25">
      <c r="A310" s="57" t="s">
        <v>18</v>
      </c>
      <c r="B310" s="57" t="s">
        <v>18</v>
      </c>
      <c r="C310" s="57" t="s">
        <v>21</v>
      </c>
      <c r="D310" s="57" t="s">
        <v>18</v>
      </c>
      <c r="E310" s="57" t="s">
        <v>21</v>
      </c>
      <c r="F310" s="57" t="s">
        <v>18</v>
      </c>
      <c r="G310" s="57" t="s">
        <v>22</v>
      </c>
      <c r="H310" s="57" t="s">
        <v>19</v>
      </c>
      <c r="I310" s="57" t="s">
        <v>24</v>
      </c>
      <c r="J310" s="57" t="s">
        <v>18</v>
      </c>
      <c r="K310" s="57" t="s">
        <v>18</v>
      </c>
      <c r="L310" s="57" t="s">
        <v>20</v>
      </c>
      <c r="M310" s="57" t="s">
        <v>37</v>
      </c>
      <c r="N310" s="57" t="s">
        <v>18</v>
      </c>
      <c r="O310" s="57" t="s">
        <v>24</v>
      </c>
      <c r="P310" s="57" t="s">
        <v>22</v>
      </c>
      <c r="Q310" s="57" t="s">
        <v>39</v>
      </c>
      <c r="R310" s="149"/>
      <c r="S310" s="66" t="s">
        <v>0</v>
      </c>
      <c r="T310" s="1">
        <v>456.3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2">
        <f t="shared" si="81"/>
        <v>456.3</v>
      </c>
      <c r="AB310" s="61">
        <v>2018</v>
      </c>
      <c r="AC310" s="9"/>
      <c r="AD310" s="104"/>
      <c r="AE310" s="104"/>
    </row>
    <row r="311" spans="1:31" ht="51" hidden="1" customHeight="1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83" t="s">
        <v>220</v>
      </c>
      <c r="S311" s="87" t="s">
        <v>181</v>
      </c>
      <c r="T311" s="3">
        <v>754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6">
        <f t="shared" si="81"/>
        <v>754</v>
      </c>
      <c r="AB311" s="41">
        <v>2018</v>
      </c>
      <c r="AC311" s="9"/>
      <c r="AD311" s="104"/>
      <c r="AE311" s="104"/>
    </row>
    <row r="312" spans="1:31" ht="16.149999999999999" hidden="1" customHeight="1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149" t="s">
        <v>221</v>
      </c>
      <c r="S312" s="66" t="s">
        <v>0</v>
      </c>
      <c r="T312" s="1">
        <f>SUM(T313:T317)</f>
        <v>244.8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2">
        <f t="shared" si="81"/>
        <v>244.8</v>
      </c>
      <c r="AB312" s="61">
        <v>2018</v>
      </c>
      <c r="AC312" s="9"/>
      <c r="AD312" s="104"/>
      <c r="AE312" s="104"/>
    </row>
    <row r="313" spans="1:31" ht="16.149999999999999" hidden="1" customHeight="1" x14ac:dyDescent="0.25">
      <c r="A313" s="57" t="s">
        <v>18</v>
      </c>
      <c r="B313" s="57" t="s">
        <v>18</v>
      </c>
      <c r="C313" s="57" t="s">
        <v>21</v>
      </c>
      <c r="D313" s="57" t="s">
        <v>18</v>
      </c>
      <c r="E313" s="57" t="s">
        <v>21</v>
      </c>
      <c r="F313" s="57" t="s">
        <v>18</v>
      </c>
      <c r="G313" s="57" t="s">
        <v>22</v>
      </c>
      <c r="H313" s="57" t="s">
        <v>19</v>
      </c>
      <c r="I313" s="57" t="s">
        <v>24</v>
      </c>
      <c r="J313" s="57" t="s">
        <v>18</v>
      </c>
      <c r="K313" s="57" t="s">
        <v>18</v>
      </c>
      <c r="L313" s="57" t="s">
        <v>20</v>
      </c>
      <c r="M313" s="57" t="s">
        <v>19</v>
      </c>
      <c r="N313" s="57" t="s">
        <v>18</v>
      </c>
      <c r="O313" s="57" t="s">
        <v>24</v>
      </c>
      <c r="P313" s="57" t="s">
        <v>22</v>
      </c>
      <c r="Q313" s="57" t="s">
        <v>45</v>
      </c>
      <c r="R313" s="149"/>
      <c r="S313" s="66" t="s">
        <v>0</v>
      </c>
      <c r="T313" s="1">
        <v>97.9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2">
        <f t="shared" si="81"/>
        <v>97.9</v>
      </c>
      <c r="AB313" s="61">
        <v>2018</v>
      </c>
      <c r="AC313" s="9"/>
      <c r="AD313" s="104"/>
      <c r="AE313" s="104"/>
    </row>
    <row r="314" spans="1:31" ht="16.149999999999999" hidden="1" customHeight="1" x14ac:dyDescent="0.25">
      <c r="A314" s="57" t="s">
        <v>18</v>
      </c>
      <c r="B314" s="57" t="s">
        <v>18</v>
      </c>
      <c r="C314" s="57" t="s">
        <v>21</v>
      </c>
      <c r="D314" s="57" t="s">
        <v>18</v>
      </c>
      <c r="E314" s="57" t="s">
        <v>21</v>
      </c>
      <c r="F314" s="57" t="s">
        <v>18</v>
      </c>
      <c r="G314" s="57" t="s">
        <v>22</v>
      </c>
      <c r="H314" s="57" t="s">
        <v>19</v>
      </c>
      <c r="I314" s="57" t="s">
        <v>24</v>
      </c>
      <c r="J314" s="57" t="s">
        <v>18</v>
      </c>
      <c r="K314" s="57" t="s">
        <v>18</v>
      </c>
      <c r="L314" s="57" t="s">
        <v>20</v>
      </c>
      <c r="M314" s="57" t="s">
        <v>19</v>
      </c>
      <c r="N314" s="57" t="s">
        <v>18</v>
      </c>
      <c r="O314" s="57" t="s">
        <v>43</v>
      </c>
      <c r="P314" s="57" t="s">
        <v>22</v>
      </c>
      <c r="Q314" s="57" t="s">
        <v>184</v>
      </c>
      <c r="R314" s="149"/>
      <c r="S314" s="66" t="s">
        <v>0</v>
      </c>
      <c r="T314" s="1">
        <v>15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62">
        <f t="shared" si="81"/>
        <v>15</v>
      </c>
      <c r="AB314" s="61">
        <v>2018</v>
      </c>
      <c r="AC314" s="9"/>
      <c r="AD314" s="104"/>
      <c r="AE314" s="104"/>
    </row>
    <row r="315" spans="1:31" ht="16.149999999999999" hidden="1" customHeight="1" x14ac:dyDescent="0.25">
      <c r="A315" s="57" t="s">
        <v>18</v>
      </c>
      <c r="B315" s="57" t="s">
        <v>18</v>
      </c>
      <c r="C315" s="57" t="s">
        <v>21</v>
      </c>
      <c r="D315" s="57" t="s">
        <v>18</v>
      </c>
      <c r="E315" s="57" t="s">
        <v>21</v>
      </c>
      <c r="F315" s="57" t="s">
        <v>18</v>
      </c>
      <c r="G315" s="57" t="s">
        <v>22</v>
      </c>
      <c r="H315" s="57" t="s">
        <v>19</v>
      </c>
      <c r="I315" s="57" t="s">
        <v>24</v>
      </c>
      <c r="J315" s="57" t="s">
        <v>18</v>
      </c>
      <c r="K315" s="57" t="s">
        <v>18</v>
      </c>
      <c r="L315" s="57" t="s">
        <v>20</v>
      </c>
      <c r="M315" s="57" t="s">
        <v>37</v>
      </c>
      <c r="N315" s="57" t="s">
        <v>18</v>
      </c>
      <c r="O315" s="57" t="s">
        <v>24</v>
      </c>
      <c r="P315" s="57" t="s">
        <v>22</v>
      </c>
      <c r="Q315" s="57" t="s">
        <v>46</v>
      </c>
      <c r="R315" s="149"/>
      <c r="S315" s="66" t="s">
        <v>0</v>
      </c>
      <c r="T315" s="1">
        <v>4.9000000000000004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2">
        <f t="shared" si="81"/>
        <v>4.9000000000000004</v>
      </c>
      <c r="AB315" s="61">
        <v>2018</v>
      </c>
      <c r="AC315" s="9"/>
      <c r="AD315" s="104"/>
      <c r="AE315" s="104"/>
    </row>
    <row r="316" spans="1:31" ht="16.149999999999999" hidden="1" customHeight="1" x14ac:dyDescent="0.25">
      <c r="A316" s="57" t="s">
        <v>18</v>
      </c>
      <c r="B316" s="57" t="s">
        <v>18</v>
      </c>
      <c r="C316" s="57" t="s">
        <v>21</v>
      </c>
      <c r="D316" s="57" t="s">
        <v>18</v>
      </c>
      <c r="E316" s="57" t="s">
        <v>21</v>
      </c>
      <c r="F316" s="57" t="s">
        <v>18</v>
      </c>
      <c r="G316" s="57" t="s">
        <v>22</v>
      </c>
      <c r="H316" s="57" t="s">
        <v>19</v>
      </c>
      <c r="I316" s="57" t="s">
        <v>24</v>
      </c>
      <c r="J316" s="57" t="s">
        <v>18</v>
      </c>
      <c r="K316" s="57" t="s">
        <v>18</v>
      </c>
      <c r="L316" s="57" t="s">
        <v>20</v>
      </c>
      <c r="M316" s="57" t="s">
        <v>37</v>
      </c>
      <c r="N316" s="57" t="s">
        <v>18</v>
      </c>
      <c r="O316" s="57" t="s">
        <v>24</v>
      </c>
      <c r="P316" s="57" t="s">
        <v>22</v>
      </c>
      <c r="Q316" s="57" t="s">
        <v>46</v>
      </c>
      <c r="R316" s="149"/>
      <c r="S316" s="66" t="s">
        <v>0</v>
      </c>
      <c r="T316" s="1">
        <v>36.700000000000003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2">
        <f t="shared" si="81"/>
        <v>36.700000000000003</v>
      </c>
      <c r="AB316" s="61">
        <v>2018</v>
      </c>
      <c r="AC316" s="9"/>
      <c r="AD316" s="104"/>
      <c r="AE316" s="104"/>
    </row>
    <row r="317" spans="1:31" ht="16.149999999999999" hidden="1" customHeight="1" x14ac:dyDescent="0.25">
      <c r="A317" s="57" t="s">
        <v>18</v>
      </c>
      <c r="B317" s="57" t="s">
        <v>18</v>
      </c>
      <c r="C317" s="57" t="s">
        <v>21</v>
      </c>
      <c r="D317" s="57" t="s">
        <v>18</v>
      </c>
      <c r="E317" s="57" t="s">
        <v>21</v>
      </c>
      <c r="F317" s="57" t="s">
        <v>18</v>
      </c>
      <c r="G317" s="57" t="s">
        <v>22</v>
      </c>
      <c r="H317" s="57" t="s">
        <v>19</v>
      </c>
      <c r="I317" s="57" t="s">
        <v>24</v>
      </c>
      <c r="J317" s="57" t="s">
        <v>18</v>
      </c>
      <c r="K317" s="57" t="s">
        <v>18</v>
      </c>
      <c r="L317" s="57" t="s">
        <v>20</v>
      </c>
      <c r="M317" s="57" t="s">
        <v>37</v>
      </c>
      <c r="N317" s="57" t="s">
        <v>18</v>
      </c>
      <c r="O317" s="57" t="s">
        <v>24</v>
      </c>
      <c r="P317" s="57" t="s">
        <v>22</v>
      </c>
      <c r="Q317" s="57" t="s">
        <v>39</v>
      </c>
      <c r="R317" s="149"/>
      <c r="S317" s="66" t="s">
        <v>0</v>
      </c>
      <c r="T317" s="1">
        <v>90.3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2">
        <f t="shared" si="81"/>
        <v>90.3</v>
      </c>
      <c r="AB317" s="61">
        <v>2018</v>
      </c>
      <c r="AC317" s="9"/>
      <c r="AD317" s="104"/>
      <c r="AE317" s="104"/>
    </row>
    <row r="318" spans="1:31" ht="52.15" hidden="1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83" t="s">
        <v>222</v>
      </c>
      <c r="S318" s="87" t="s">
        <v>50</v>
      </c>
      <c r="T318" s="44">
        <v>10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52">
        <f t="shared" si="81"/>
        <v>10</v>
      </c>
      <c r="AB318" s="41">
        <v>2018</v>
      </c>
      <c r="AC318" s="9"/>
      <c r="AD318" s="104"/>
      <c r="AE318" s="104"/>
    </row>
    <row r="319" spans="1:31" ht="16.350000000000001" hidden="1" customHeight="1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149" t="s">
        <v>223</v>
      </c>
      <c r="S319" s="66" t="s">
        <v>0</v>
      </c>
      <c r="T319" s="1">
        <f>SUM(T320:T324)</f>
        <v>686.4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2">
        <f t="shared" ref="AA319:AA386" si="87">SUM(T319:Y319)</f>
        <v>686.4</v>
      </c>
      <c r="AB319" s="61">
        <v>2018</v>
      </c>
      <c r="AC319" s="9"/>
      <c r="AD319" s="104"/>
      <c r="AE319" s="104"/>
    </row>
    <row r="320" spans="1:31" ht="16.350000000000001" hidden="1" customHeight="1" x14ac:dyDescent="0.25">
      <c r="A320" s="57" t="s">
        <v>18</v>
      </c>
      <c r="B320" s="57" t="s">
        <v>18</v>
      </c>
      <c r="C320" s="57" t="s">
        <v>21</v>
      </c>
      <c r="D320" s="57" t="s">
        <v>18</v>
      </c>
      <c r="E320" s="57" t="s">
        <v>24</v>
      </c>
      <c r="F320" s="57" t="s">
        <v>18</v>
      </c>
      <c r="G320" s="57" t="s">
        <v>43</v>
      </c>
      <c r="H320" s="57" t="s">
        <v>19</v>
      </c>
      <c r="I320" s="57" t="s">
        <v>24</v>
      </c>
      <c r="J320" s="57" t="s">
        <v>18</v>
      </c>
      <c r="K320" s="57" t="s">
        <v>18</v>
      </c>
      <c r="L320" s="57" t="s">
        <v>20</v>
      </c>
      <c r="M320" s="57" t="s">
        <v>19</v>
      </c>
      <c r="N320" s="57" t="s">
        <v>18</v>
      </c>
      <c r="O320" s="57" t="s">
        <v>24</v>
      </c>
      <c r="P320" s="57" t="s">
        <v>22</v>
      </c>
      <c r="Q320" s="57" t="s">
        <v>45</v>
      </c>
      <c r="R320" s="149"/>
      <c r="S320" s="66" t="s">
        <v>0</v>
      </c>
      <c r="T320" s="1">
        <v>272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2">
        <f t="shared" si="87"/>
        <v>272</v>
      </c>
      <c r="AB320" s="61">
        <v>2018</v>
      </c>
      <c r="AC320" s="9"/>
      <c r="AD320" s="104"/>
      <c r="AE320" s="104"/>
    </row>
    <row r="321" spans="1:31" ht="16.350000000000001" hidden="1" customHeight="1" x14ac:dyDescent="0.25">
      <c r="A321" s="57" t="s">
        <v>18</v>
      </c>
      <c r="B321" s="57" t="s">
        <v>18</v>
      </c>
      <c r="C321" s="57" t="s">
        <v>21</v>
      </c>
      <c r="D321" s="57" t="s">
        <v>18</v>
      </c>
      <c r="E321" s="57" t="s">
        <v>24</v>
      </c>
      <c r="F321" s="57" t="s">
        <v>18</v>
      </c>
      <c r="G321" s="57" t="s">
        <v>43</v>
      </c>
      <c r="H321" s="57" t="s">
        <v>19</v>
      </c>
      <c r="I321" s="57" t="s">
        <v>24</v>
      </c>
      <c r="J321" s="57" t="s">
        <v>18</v>
      </c>
      <c r="K321" s="57" t="s">
        <v>18</v>
      </c>
      <c r="L321" s="57" t="s">
        <v>20</v>
      </c>
      <c r="M321" s="57" t="s">
        <v>19</v>
      </c>
      <c r="N321" s="57" t="s">
        <v>18</v>
      </c>
      <c r="O321" s="57" t="s">
        <v>43</v>
      </c>
      <c r="P321" s="57" t="s">
        <v>22</v>
      </c>
      <c r="Q321" s="57" t="s">
        <v>184</v>
      </c>
      <c r="R321" s="149"/>
      <c r="S321" s="66" t="s">
        <v>0</v>
      </c>
      <c r="T321" s="1">
        <v>30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62">
        <f t="shared" si="87"/>
        <v>30</v>
      </c>
      <c r="AB321" s="61">
        <v>2018</v>
      </c>
      <c r="AC321" s="9"/>
      <c r="AD321" s="104"/>
      <c r="AE321" s="104"/>
    </row>
    <row r="322" spans="1:31" ht="16.350000000000001" hidden="1" customHeight="1" x14ac:dyDescent="0.25">
      <c r="A322" s="57" t="s">
        <v>18</v>
      </c>
      <c r="B322" s="57" t="s">
        <v>18</v>
      </c>
      <c r="C322" s="57" t="s">
        <v>21</v>
      </c>
      <c r="D322" s="57" t="s">
        <v>18</v>
      </c>
      <c r="E322" s="57" t="s">
        <v>24</v>
      </c>
      <c r="F322" s="57" t="s">
        <v>18</v>
      </c>
      <c r="G322" s="57" t="s">
        <v>43</v>
      </c>
      <c r="H322" s="57" t="s">
        <v>19</v>
      </c>
      <c r="I322" s="57" t="s">
        <v>24</v>
      </c>
      <c r="J322" s="57" t="s">
        <v>18</v>
      </c>
      <c r="K322" s="57" t="s">
        <v>18</v>
      </c>
      <c r="L322" s="57" t="s">
        <v>20</v>
      </c>
      <c r="M322" s="57" t="s">
        <v>37</v>
      </c>
      <c r="N322" s="57" t="s">
        <v>18</v>
      </c>
      <c r="O322" s="57" t="s">
        <v>24</v>
      </c>
      <c r="P322" s="57" t="s">
        <v>22</v>
      </c>
      <c r="Q322" s="57" t="s">
        <v>46</v>
      </c>
      <c r="R322" s="149"/>
      <c r="S322" s="66" t="s">
        <v>0</v>
      </c>
      <c r="T322" s="1">
        <v>47.3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2">
        <f t="shared" si="87"/>
        <v>47.3</v>
      </c>
      <c r="AB322" s="61">
        <v>2018</v>
      </c>
      <c r="AC322" s="9"/>
      <c r="AD322" s="104"/>
      <c r="AE322" s="104"/>
    </row>
    <row r="323" spans="1:31" ht="16.350000000000001" hidden="1" customHeight="1" x14ac:dyDescent="0.25">
      <c r="A323" s="57" t="s">
        <v>18</v>
      </c>
      <c r="B323" s="57" t="s">
        <v>18</v>
      </c>
      <c r="C323" s="57" t="s">
        <v>21</v>
      </c>
      <c r="D323" s="57" t="s">
        <v>18</v>
      </c>
      <c r="E323" s="57" t="s">
        <v>24</v>
      </c>
      <c r="F323" s="57" t="s">
        <v>18</v>
      </c>
      <c r="G323" s="57" t="s">
        <v>43</v>
      </c>
      <c r="H323" s="57" t="s">
        <v>19</v>
      </c>
      <c r="I323" s="57" t="s">
        <v>24</v>
      </c>
      <c r="J323" s="57" t="s">
        <v>18</v>
      </c>
      <c r="K323" s="57" t="s">
        <v>18</v>
      </c>
      <c r="L323" s="57" t="s">
        <v>20</v>
      </c>
      <c r="M323" s="57" t="s">
        <v>37</v>
      </c>
      <c r="N323" s="57" t="s">
        <v>18</v>
      </c>
      <c r="O323" s="57" t="s">
        <v>24</v>
      </c>
      <c r="P323" s="57" t="s">
        <v>22</v>
      </c>
      <c r="Q323" s="57" t="s">
        <v>46</v>
      </c>
      <c r="R323" s="149"/>
      <c r="S323" s="66" t="s">
        <v>0</v>
      </c>
      <c r="T323" s="1">
        <v>68.599999999999994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2">
        <f t="shared" si="87"/>
        <v>68.599999999999994</v>
      </c>
      <c r="AB323" s="61">
        <v>2018</v>
      </c>
      <c r="AC323" s="9"/>
      <c r="AD323" s="104"/>
      <c r="AE323" s="104"/>
    </row>
    <row r="324" spans="1:31" ht="16.350000000000001" hidden="1" customHeight="1" x14ac:dyDescent="0.25">
      <c r="A324" s="57" t="s">
        <v>18</v>
      </c>
      <c r="B324" s="57" t="s">
        <v>18</v>
      </c>
      <c r="C324" s="57" t="s">
        <v>21</v>
      </c>
      <c r="D324" s="57" t="s">
        <v>18</v>
      </c>
      <c r="E324" s="57" t="s">
        <v>24</v>
      </c>
      <c r="F324" s="57" t="s">
        <v>18</v>
      </c>
      <c r="G324" s="57" t="s">
        <v>43</v>
      </c>
      <c r="H324" s="57" t="s">
        <v>19</v>
      </c>
      <c r="I324" s="57" t="s">
        <v>24</v>
      </c>
      <c r="J324" s="57" t="s">
        <v>18</v>
      </c>
      <c r="K324" s="57" t="s">
        <v>18</v>
      </c>
      <c r="L324" s="57" t="s">
        <v>20</v>
      </c>
      <c r="M324" s="57" t="s">
        <v>37</v>
      </c>
      <c r="N324" s="57" t="s">
        <v>18</v>
      </c>
      <c r="O324" s="57" t="s">
        <v>24</v>
      </c>
      <c r="P324" s="57" t="s">
        <v>22</v>
      </c>
      <c r="Q324" s="57" t="s">
        <v>39</v>
      </c>
      <c r="R324" s="149"/>
      <c r="S324" s="66" t="s">
        <v>0</v>
      </c>
      <c r="T324" s="1">
        <v>268.5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2">
        <f t="shared" si="87"/>
        <v>268.5</v>
      </c>
      <c r="AB324" s="61">
        <v>2018</v>
      </c>
      <c r="AC324" s="9"/>
      <c r="AD324" s="104"/>
      <c r="AE324" s="104"/>
    </row>
    <row r="325" spans="1:31" ht="53.45" hidden="1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81" t="s">
        <v>224</v>
      </c>
      <c r="S325" s="87" t="s">
        <v>181</v>
      </c>
      <c r="T325" s="3">
        <v>285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6">
        <f t="shared" si="87"/>
        <v>285</v>
      </c>
      <c r="AB325" s="41">
        <v>2018</v>
      </c>
      <c r="AC325" s="9"/>
      <c r="AD325" s="104"/>
      <c r="AE325" s="104"/>
    </row>
    <row r="326" spans="1:31" ht="16.350000000000001" hidden="1" customHeight="1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149" t="s">
        <v>225</v>
      </c>
      <c r="S326" s="66" t="s">
        <v>0</v>
      </c>
      <c r="T326" s="1">
        <f>SUM(T327:T331)</f>
        <v>657.90000000000009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2">
        <f t="shared" si="87"/>
        <v>657.90000000000009</v>
      </c>
      <c r="AB326" s="61">
        <v>2018</v>
      </c>
      <c r="AC326" s="9"/>
      <c r="AD326" s="104"/>
      <c r="AE326" s="104"/>
    </row>
    <row r="327" spans="1:31" ht="16.350000000000001" hidden="1" customHeight="1" x14ac:dyDescent="0.25">
      <c r="A327" s="57" t="s">
        <v>18</v>
      </c>
      <c r="B327" s="57" t="s">
        <v>18</v>
      </c>
      <c r="C327" s="57" t="s">
        <v>21</v>
      </c>
      <c r="D327" s="57" t="s">
        <v>18</v>
      </c>
      <c r="E327" s="57" t="s">
        <v>21</v>
      </c>
      <c r="F327" s="57" t="s">
        <v>18</v>
      </c>
      <c r="G327" s="57" t="s">
        <v>22</v>
      </c>
      <c r="H327" s="57" t="s">
        <v>19</v>
      </c>
      <c r="I327" s="57" t="s">
        <v>24</v>
      </c>
      <c r="J327" s="57" t="s">
        <v>18</v>
      </c>
      <c r="K327" s="57" t="s">
        <v>18</v>
      </c>
      <c r="L327" s="57" t="s">
        <v>20</v>
      </c>
      <c r="M327" s="57" t="s">
        <v>19</v>
      </c>
      <c r="N327" s="57" t="s">
        <v>18</v>
      </c>
      <c r="O327" s="57" t="s">
        <v>24</v>
      </c>
      <c r="P327" s="57" t="s">
        <v>22</v>
      </c>
      <c r="Q327" s="57" t="s">
        <v>45</v>
      </c>
      <c r="R327" s="149"/>
      <c r="S327" s="66" t="s">
        <v>0</v>
      </c>
      <c r="T327" s="1">
        <v>263.10000000000002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2">
        <f t="shared" si="87"/>
        <v>263.10000000000002</v>
      </c>
      <c r="AB327" s="61">
        <v>2018</v>
      </c>
      <c r="AC327" s="9"/>
      <c r="AD327" s="104"/>
      <c r="AE327" s="104"/>
    </row>
    <row r="328" spans="1:31" ht="16.350000000000001" hidden="1" customHeight="1" x14ac:dyDescent="0.25">
      <c r="A328" s="57" t="s">
        <v>18</v>
      </c>
      <c r="B328" s="57" t="s">
        <v>18</v>
      </c>
      <c r="C328" s="57" t="s">
        <v>21</v>
      </c>
      <c r="D328" s="57" t="s">
        <v>18</v>
      </c>
      <c r="E328" s="57" t="s">
        <v>21</v>
      </c>
      <c r="F328" s="57" t="s">
        <v>18</v>
      </c>
      <c r="G328" s="57" t="s">
        <v>22</v>
      </c>
      <c r="H328" s="57" t="s">
        <v>19</v>
      </c>
      <c r="I328" s="57" t="s">
        <v>24</v>
      </c>
      <c r="J328" s="57" t="s">
        <v>18</v>
      </c>
      <c r="K328" s="57" t="s">
        <v>18</v>
      </c>
      <c r="L328" s="57" t="s">
        <v>20</v>
      </c>
      <c r="M328" s="57" t="s">
        <v>19</v>
      </c>
      <c r="N328" s="57" t="s">
        <v>18</v>
      </c>
      <c r="O328" s="57" t="s">
        <v>43</v>
      </c>
      <c r="P328" s="57" t="s">
        <v>22</v>
      </c>
      <c r="Q328" s="57" t="s">
        <v>184</v>
      </c>
      <c r="R328" s="149"/>
      <c r="S328" s="66" t="s">
        <v>0</v>
      </c>
      <c r="T328" s="1">
        <v>40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62">
        <f>SUM(T328:Y328)</f>
        <v>40</v>
      </c>
      <c r="AB328" s="61">
        <v>2018</v>
      </c>
      <c r="AC328" s="9"/>
      <c r="AD328" s="104"/>
      <c r="AE328" s="104"/>
    </row>
    <row r="329" spans="1:31" ht="16.350000000000001" hidden="1" customHeight="1" x14ac:dyDescent="0.25">
      <c r="A329" s="57" t="s">
        <v>18</v>
      </c>
      <c r="B329" s="57" t="s">
        <v>18</v>
      </c>
      <c r="C329" s="57" t="s">
        <v>21</v>
      </c>
      <c r="D329" s="57" t="s">
        <v>18</v>
      </c>
      <c r="E329" s="57" t="s">
        <v>21</v>
      </c>
      <c r="F329" s="57" t="s">
        <v>18</v>
      </c>
      <c r="G329" s="57" t="s">
        <v>22</v>
      </c>
      <c r="H329" s="57" t="s">
        <v>19</v>
      </c>
      <c r="I329" s="57" t="s">
        <v>24</v>
      </c>
      <c r="J329" s="57" t="s">
        <v>18</v>
      </c>
      <c r="K329" s="57" t="s">
        <v>18</v>
      </c>
      <c r="L329" s="57" t="s">
        <v>20</v>
      </c>
      <c r="M329" s="57" t="s">
        <v>37</v>
      </c>
      <c r="N329" s="57" t="s">
        <v>18</v>
      </c>
      <c r="O329" s="57" t="s">
        <v>24</v>
      </c>
      <c r="P329" s="57" t="s">
        <v>22</v>
      </c>
      <c r="Q329" s="57" t="s">
        <v>46</v>
      </c>
      <c r="R329" s="149"/>
      <c r="S329" s="66" t="s">
        <v>0</v>
      </c>
      <c r="T329" s="1">
        <v>5.7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2">
        <f t="shared" si="87"/>
        <v>5.7</v>
      </c>
      <c r="AB329" s="61">
        <v>2018</v>
      </c>
      <c r="AC329" s="9"/>
      <c r="AD329" s="104"/>
      <c r="AE329" s="104"/>
    </row>
    <row r="330" spans="1:31" ht="16.350000000000001" hidden="1" customHeight="1" x14ac:dyDescent="0.25">
      <c r="A330" s="57" t="s">
        <v>18</v>
      </c>
      <c r="B330" s="57" t="s">
        <v>18</v>
      </c>
      <c r="C330" s="57" t="s">
        <v>21</v>
      </c>
      <c r="D330" s="57" t="s">
        <v>18</v>
      </c>
      <c r="E330" s="57" t="s">
        <v>21</v>
      </c>
      <c r="F330" s="57" t="s">
        <v>18</v>
      </c>
      <c r="G330" s="57" t="s">
        <v>22</v>
      </c>
      <c r="H330" s="57" t="s">
        <v>19</v>
      </c>
      <c r="I330" s="57" t="s">
        <v>24</v>
      </c>
      <c r="J330" s="57" t="s">
        <v>18</v>
      </c>
      <c r="K330" s="57" t="s">
        <v>18</v>
      </c>
      <c r="L330" s="57" t="s">
        <v>20</v>
      </c>
      <c r="M330" s="57" t="s">
        <v>37</v>
      </c>
      <c r="N330" s="57" t="s">
        <v>18</v>
      </c>
      <c r="O330" s="57" t="s">
        <v>24</v>
      </c>
      <c r="P330" s="57" t="s">
        <v>22</v>
      </c>
      <c r="Q330" s="57" t="s">
        <v>46</v>
      </c>
      <c r="R330" s="149"/>
      <c r="S330" s="66" t="s">
        <v>0</v>
      </c>
      <c r="T330" s="1">
        <v>98.8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2">
        <f t="shared" si="87"/>
        <v>98.8</v>
      </c>
      <c r="AB330" s="61">
        <v>2018</v>
      </c>
      <c r="AC330" s="9"/>
      <c r="AD330" s="104"/>
      <c r="AE330" s="104"/>
    </row>
    <row r="331" spans="1:31" ht="16.350000000000001" hidden="1" customHeight="1" x14ac:dyDescent="0.25">
      <c r="A331" s="57" t="s">
        <v>18</v>
      </c>
      <c r="B331" s="57" t="s">
        <v>18</v>
      </c>
      <c r="C331" s="57" t="s">
        <v>21</v>
      </c>
      <c r="D331" s="57" t="s">
        <v>18</v>
      </c>
      <c r="E331" s="57" t="s">
        <v>21</v>
      </c>
      <c r="F331" s="57" t="s">
        <v>18</v>
      </c>
      <c r="G331" s="57" t="s">
        <v>22</v>
      </c>
      <c r="H331" s="57" t="s">
        <v>19</v>
      </c>
      <c r="I331" s="57" t="s">
        <v>24</v>
      </c>
      <c r="J331" s="57" t="s">
        <v>18</v>
      </c>
      <c r="K331" s="57" t="s">
        <v>18</v>
      </c>
      <c r="L331" s="57" t="s">
        <v>20</v>
      </c>
      <c r="M331" s="57" t="s">
        <v>37</v>
      </c>
      <c r="N331" s="57" t="s">
        <v>18</v>
      </c>
      <c r="O331" s="57" t="s">
        <v>24</v>
      </c>
      <c r="P331" s="57" t="s">
        <v>22</v>
      </c>
      <c r="Q331" s="57" t="s">
        <v>39</v>
      </c>
      <c r="R331" s="149"/>
      <c r="S331" s="66" t="s">
        <v>0</v>
      </c>
      <c r="T331" s="1">
        <v>250.3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2">
        <f t="shared" si="87"/>
        <v>250.3</v>
      </c>
      <c r="AB331" s="61">
        <v>2018</v>
      </c>
      <c r="AC331" s="9"/>
      <c r="AD331" s="104"/>
      <c r="AE331" s="104"/>
    </row>
    <row r="332" spans="1:31" ht="37.15" hidden="1" customHeight="1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83" t="s">
        <v>226</v>
      </c>
      <c r="S332" s="87" t="s">
        <v>181</v>
      </c>
      <c r="T332" s="3">
        <v>443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6">
        <f t="shared" si="87"/>
        <v>443</v>
      </c>
      <c r="AB332" s="41">
        <v>2018</v>
      </c>
      <c r="AC332" s="9"/>
      <c r="AD332" s="104"/>
      <c r="AE332" s="104"/>
    </row>
    <row r="333" spans="1:31" ht="18.600000000000001" hidden="1" customHeight="1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149" t="s">
        <v>227</v>
      </c>
      <c r="S333" s="66" t="s">
        <v>0</v>
      </c>
      <c r="T333" s="1">
        <f>SUM(T334:T338)</f>
        <v>1100.4000000000001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2">
        <f t="shared" si="87"/>
        <v>1100.4000000000001</v>
      </c>
      <c r="AB333" s="61">
        <v>2018</v>
      </c>
      <c r="AC333" s="9"/>
      <c r="AD333" s="104"/>
      <c r="AE333" s="104"/>
    </row>
    <row r="334" spans="1:31" ht="16.350000000000001" hidden="1" customHeight="1" x14ac:dyDescent="0.25">
      <c r="A334" s="57" t="s">
        <v>18</v>
      </c>
      <c r="B334" s="57" t="s">
        <v>18</v>
      </c>
      <c r="C334" s="57" t="s">
        <v>21</v>
      </c>
      <c r="D334" s="57" t="s">
        <v>18</v>
      </c>
      <c r="E334" s="57" t="s">
        <v>21</v>
      </c>
      <c r="F334" s="57" t="s">
        <v>18</v>
      </c>
      <c r="G334" s="57" t="s">
        <v>22</v>
      </c>
      <c r="H334" s="57" t="s">
        <v>19</v>
      </c>
      <c r="I334" s="57" t="s">
        <v>24</v>
      </c>
      <c r="J334" s="57" t="s">
        <v>18</v>
      </c>
      <c r="K334" s="57" t="s">
        <v>18</v>
      </c>
      <c r="L334" s="57" t="s">
        <v>20</v>
      </c>
      <c r="M334" s="57" t="s">
        <v>19</v>
      </c>
      <c r="N334" s="57" t="s">
        <v>18</v>
      </c>
      <c r="O334" s="57" t="s">
        <v>24</v>
      </c>
      <c r="P334" s="57" t="s">
        <v>22</v>
      </c>
      <c r="Q334" s="57" t="s">
        <v>45</v>
      </c>
      <c r="R334" s="149"/>
      <c r="S334" s="66" t="s">
        <v>0</v>
      </c>
      <c r="T334" s="1">
        <v>400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2">
        <f t="shared" si="87"/>
        <v>400</v>
      </c>
      <c r="AB334" s="61">
        <v>2018</v>
      </c>
      <c r="AC334" s="9"/>
      <c r="AD334" s="104"/>
      <c r="AE334" s="104"/>
    </row>
    <row r="335" spans="1:31" ht="16.350000000000001" hidden="1" customHeight="1" x14ac:dyDescent="0.25">
      <c r="A335" s="57" t="s">
        <v>18</v>
      </c>
      <c r="B335" s="57" t="s">
        <v>18</v>
      </c>
      <c r="C335" s="57" t="s">
        <v>21</v>
      </c>
      <c r="D335" s="57" t="s">
        <v>18</v>
      </c>
      <c r="E335" s="57" t="s">
        <v>21</v>
      </c>
      <c r="F335" s="57" t="s">
        <v>18</v>
      </c>
      <c r="G335" s="57" t="s">
        <v>22</v>
      </c>
      <c r="H335" s="57" t="s">
        <v>19</v>
      </c>
      <c r="I335" s="57" t="s">
        <v>24</v>
      </c>
      <c r="J335" s="57" t="s">
        <v>18</v>
      </c>
      <c r="K335" s="57" t="s">
        <v>18</v>
      </c>
      <c r="L335" s="57" t="s">
        <v>20</v>
      </c>
      <c r="M335" s="57" t="s">
        <v>19</v>
      </c>
      <c r="N335" s="57" t="s">
        <v>18</v>
      </c>
      <c r="O335" s="57" t="s">
        <v>43</v>
      </c>
      <c r="P335" s="57" t="s">
        <v>22</v>
      </c>
      <c r="Q335" s="57" t="s">
        <v>184</v>
      </c>
      <c r="R335" s="149"/>
      <c r="S335" s="66" t="s">
        <v>0</v>
      </c>
      <c r="T335" s="1">
        <v>40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62">
        <f t="shared" si="87"/>
        <v>40</v>
      </c>
      <c r="AB335" s="61">
        <v>2018</v>
      </c>
      <c r="AC335" s="9"/>
      <c r="AD335" s="104"/>
      <c r="AE335" s="104"/>
    </row>
    <row r="336" spans="1:31" ht="16.350000000000001" hidden="1" customHeight="1" x14ac:dyDescent="0.25">
      <c r="A336" s="57" t="s">
        <v>18</v>
      </c>
      <c r="B336" s="57" t="s">
        <v>18</v>
      </c>
      <c r="C336" s="57" t="s">
        <v>21</v>
      </c>
      <c r="D336" s="57" t="s">
        <v>18</v>
      </c>
      <c r="E336" s="57" t="s">
        <v>21</v>
      </c>
      <c r="F336" s="57" t="s">
        <v>18</v>
      </c>
      <c r="G336" s="57" t="s">
        <v>22</v>
      </c>
      <c r="H336" s="57" t="s">
        <v>19</v>
      </c>
      <c r="I336" s="57" t="s">
        <v>24</v>
      </c>
      <c r="J336" s="57" t="s">
        <v>18</v>
      </c>
      <c r="K336" s="57" t="s">
        <v>18</v>
      </c>
      <c r="L336" s="57" t="s">
        <v>20</v>
      </c>
      <c r="M336" s="57" t="s">
        <v>37</v>
      </c>
      <c r="N336" s="57" t="s">
        <v>18</v>
      </c>
      <c r="O336" s="57" t="s">
        <v>24</v>
      </c>
      <c r="P336" s="57" t="s">
        <v>22</v>
      </c>
      <c r="Q336" s="57" t="s">
        <v>46</v>
      </c>
      <c r="R336" s="149"/>
      <c r="S336" s="66" t="s">
        <v>0</v>
      </c>
      <c r="T336" s="1">
        <v>30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2">
        <f t="shared" si="87"/>
        <v>30</v>
      </c>
      <c r="AB336" s="61">
        <v>2018</v>
      </c>
      <c r="AC336" s="9"/>
      <c r="AD336" s="104"/>
      <c r="AE336" s="104"/>
    </row>
    <row r="337" spans="1:31" ht="16.350000000000001" hidden="1" customHeight="1" x14ac:dyDescent="0.25">
      <c r="A337" s="57" t="s">
        <v>18</v>
      </c>
      <c r="B337" s="57" t="s">
        <v>18</v>
      </c>
      <c r="C337" s="57" t="s">
        <v>21</v>
      </c>
      <c r="D337" s="57" t="s">
        <v>18</v>
      </c>
      <c r="E337" s="57" t="s">
        <v>21</v>
      </c>
      <c r="F337" s="57" t="s">
        <v>18</v>
      </c>
      <c r="G337" s="57" t="s">
        <v>22</v>
      </c>
      <c r="H337" s="57" t="s">
        <v>19</v>
      </c>
      <c r="I337" s="57" t="s">
        <v>24</v>
      </c>
      <c r="J337" s="57" t="s">
        <v>18</v>
      </c>
      <c r="K337" s="57" t="s">
        <v>18</v>
      </c>
      <c r="L337" s="57" t="s">
        <v>20</v>
      </c>
      <c r="M337" s="57" t="s">
        <v>37</v>
      </c>
      <c r="N337" s="57" t="s">
        <v>18</v>
      </c>
      <c r="O337" s="57" t="s">
        <v>24</v>
      </c>
      <c r="P337" s="57" t="s">
        <v>22</v>
      </c>
      <c r="Q337" s="57" t="s">
        <v>46</v>
      </c>
      <c r="R337" s="149"/>
      <c r="S337" s="66" t="s">
        <v>0</v>
      </c>
      <c r="T337" s="1">
        <v>166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2">
        <f t="shared" si="87"/>
        <v>166</v>
      </c>
      <c r="AB337" s="61">
        <v>2018</v>
      </c>
      <c r="AC337" s="9"/>
      <c r="AD337" s="104"/>
      <c r="AE337" s="104"/>
    </row>
    <row r="338" spans="1:31" ht="16.350000000000001" hidden="1" customHeight="1" x14ac:dyDescent="0.25">
      <c r="A338" s="57" t="s">
        <v>18</v>
      </c>
      <c r="B338" s="57" t="s">
        <v>18</v>
      </c>
      <c r="C338" s="57" t="s">
        <v>21</v>
      </c>
      <c r="D338" s="57" t="s">
        <v>18</v>
      </c>
      <c r="E338" s="57" t="s">
        <v>21</v>
      </c>
      <c r="F338" s="57" t="s">
        <v>18</v>
      </c>
      <c r="G338" s="57" t="s">
        <v>22</v>
      </c>
      <c r="H338" s="57" t="s">
        <v>19</v>
      </c>
      <c r="I338" s="57" t="s">
        <v>24</v>
      </c>
      <c r="J338" s="57" t="s">
        <v>18</v>
      </c>
      <c r="K338" s="57" t="s">
        <v>18</v>
      </c>
      <c r="L338" s="57" t="s">
        <v>20</v>
      </c>
      <c r="M338" s="57" t="s">
        <v>37</v>
      </c>
      <c r="N338" s="57" t="s">
        <v>18</v>
      </c>
      <c r="O338" s="57" t="s">
        <v>24</v>
      </c>
      <c r="P338" s="57" t="s">
        <v>22</v>
      </c>
      <c r="Q338" s="57" t="s">
        <v>39</v>
      </c>
      <c r="R338" s="149"/>
      <c r="S338" s="66" t="s">
        <v>0</v>
      </c>
      <c r="T338" s="1">
        <v>464.4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2">
        <f t="shared" si="87"/>
        <v>464.4</v>
      </c>
      <c r="AB338" s="61">
        <v>2018</v>
      </c>
      <c r="AC338" s="9"/>
      <c r="AD338" s="104"/>
      <c r="AE338" s="104"/>
    </row>
    <row r="339" spans="1:31" ht="37.15" hidden="1" customHeight="1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83" t="s">
        <v>228</v>
      </c>
      <c r="S339" s="87" t="s">
        <v>181</v>
      </c>
      <c r="T339" s="3">
        <v>930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6">
        <f t="shared" si="87"/>
        <v>930</v>
      </c>
      <c r="AB339" s="41">
        <v>2018</v>
      </c>
      <c r="AC339" s="9"/>
      <c r="AD339" s="104"/>
      <c r="AE339" s="104"/>
    </row>
    <row r="340" spans="1:31" ht="22.15" hidden="1" customHeight="1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149" t="s">
        <v>229</v>
      </c>
      <c r="S340" s="66" t="s">
        <v>0</v>
      </c>
      <c r="T340" s="1">
        <f>SUM(T341:T345)</f>
        <v>1421.6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2">
        <f t="shared" si="87"/>
        <v>1421.6</v>
      </c>
      <c r="AB340" s="61">
        <v>2018</v>
      </c>
      <c r="AC340" s="9"/>
      <c r="AD340" s="104"/>
      <c r="AE340" s="104"/>
    </row>
    <row r="341" spans="1:31" ht="16.350000000000001" hidden="1" customHeight="1" x14ac:dyDescent="0.25">
      <c r="A341" s="57" t="s">
        <v>18</v>
      </c>
      <c r="B341" s="57" t="s">
        <v>18</v>
      </c>
      <c r="C341" s="57" t="s">
        <v>21</v>
      </c>
      <c r="D341" s="57" t="s">
        <v>18</v>
      </c>
      <c r="E341" s="57" t="s">
        <v>21</v>
      </c>
      <c r="F341" s="57" t="s">
        <v>18</v>
      </c>
      <c r="G341" s="57" t="s">
        <v>22</v>
      </c>
      <c r="H341" s="57" t="s">
        <v>19</v>
      </c>
      <c r="I341" s="57" t="s">
        <v>24</v>
      </c>
      <c r="J341" s="57" t="s">
        <v>18</v>
      </c>
      <c r="K341" s="57" t="s">
        <v>18</v>
      </c>
      <c r="L341" s="57" t="s">
        <v>20</v>
      </c>
      <c r="M341" s="57" t="s">
        <v>19</v>
      </c>
      <c r="N341" s="57" t="s">
        <v>18</v>
      </c>
      <c r="O341" s="57" t="s">
        <v>24</v>
      </c>
      <c r="P341" s="57" t="s">
        <v>22</v>
      </c>
      <c r="Q341" s="57" t="s">
        <v>45</v>
      </c>
      <c r="R341" s="149"/>
      <c r="S341" s="66" t="s">
        <v>0</v>
      </c>
      <c r="T341" s="1">
        <v>400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2">
        <f t="shared" si="87"/>
        <v>400</v>
      </c>
      <c r="AB341" s="61">
        <v>2018</v>
      </c>
      <c r="AC341" s="9"/>
      <c r="AD341" s="104"/>
      <c r="AE341" s="104"/>
    </row>
    <row r="342" spans="1:31" ht="16.350000000000001" hidden="1" customHeight="1" x14ac:dyDescent="0.25">
      <c r="A342" s="57" t="s">
        <v>18</v>
      </c>
      <c r="B342" s="57" t="s">
        <v>18</v>
      </c>
      <c r="C342" s="57" t="s">
        <v>21</v>
      </c>
      <c r="D342" s="57" t="s">
        <v>18</v>
      </c>
      <c r="E342" s="57" t="s">
        <v>21</v>
      </c>
      <c r="F342" s="57" t="s">
        <v>18</v>
      </c>
      <c r="G342" s="57" t="s">
        <v>22</v>
      </c>
      <c r="H342" s="57" t="s">
        <v>19</v>
      </c>
      <c r="I342" s="57" t="s">
        <v>24</v>
      </c>
      <c r="J342" s="57" t="s">
        <v>18</v>
      </c>
      <c r="K342" s="57" t="s">
        <v>18</v>
      </c>
      <c r="L342" s="57" t="s">
        <v>20</v>
      </c>
      <c r="M342" s="57" t="s">
        <v>19</v>
      </c>
      <c r="N342" s="57" t="s">
        <v>18</v>
      </c>
      <c r="O342" s="57" t="s">
        <v>43</v>
      </c>
      <c r="P342" s="57" t="s">
        <v>22</v>
      </c>
      <c r="Q342" s="57" t="s">
        <v>184</v>
      </c>
      <c r="R342" s="149"/>
      <c r="S342" s="66" t="s">
        <v>0</v>
      </c>
      <c r="T342" s="1">
        <v>50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62">
        <f>SUM(T342:Y342)</f>
        <v>50</v>
      </c>
      <c r="AB342" s="61">
        <v>2018</v>
      </c>
      <c r="AC342" s="9"/>
      <c r="AD342" s="104"/>
      <c r="AE342" s="104"/>
    </row>
    <row r="343" spans="1:31" ht="16.350000000000001" hidden="1" customHeight="1" x14ac:dyDescent="0.25">
      <c r="A343" s="57" t="s">
        <v>18</v>
      </c>
      <c r="B343" s="57" t="s">
        <v>18</v>
      </c>
      <c r="C343" s="57" t="s">
        <v>21</v>
      </c>
      <c r="D343" s="57" t="s">
        <v>18</v>
      </c>
      <c r="E343" s="57" t="s">
        <v>21</v>
      </c>
      <c r="F343" s="57" t="s">
        <v>18</v>
      </c>
      <c r="G343" s="57" t="s">
        <v>22</v>
      </c>
      <c r="H343" s="57" t="s">
        <v>19</v>
      </c>
      <c r="I343" s="57" t="s">
        <v>24</v>
      </c>
      <c r="J343" s="57" t="s">
        <v>18</v>
      </c>
      <c r="K343" s="57" t="s">
        <v>18</v>
      </c>
      <c r="L343" s="57" t="s">
        <v>20</v>
      </c>
      <c r="M343" s="57" t="s">
        <v>37</v>
      </c>
      <c r="N343" s="57" t="s">
        <v>18</v>
      </c>
      <c r="O343" s="57" t="s">
        <v>24</v>
      </c>
      <c r="P343" s="57" t="s">
        <v>22</v>
      </c>
      <c r="Q343" s="57" t="s">
        <v>46</v>
      </c>
      <c r="R343" s="149"/>
      <c r="S343" s="66" t="s">
        <v>0</v>
      </c>
      <c r="T343" s="1">
        <v>83.1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2">
        <f t="shared" si="87"/>
        <v>83.1</v>
      </c>
      <c r="AB343" s="61">
        <v>2018</v>
      </c>
      <c r="AC343" s="9"/>
      <c r="AD343" s="104"/>
      <c r="AE343" s="104"/>
    </row>
    <row r="344" spans="1:31" ht="16.350000000000001" hidden="1" customHeight="1" x14ac:dyDescent="0.25">
      <c r="A344" s="57" t="s">
        <v>18</v>
      </c>
      <c r="B344" s="57" t="s">
        <v>18</v>
      </c>
      <c r="C344" s="57" t="s">
        <v>21</v>
      </c>
      <c r="D344" s="57" t="s">
        <v>18</v>
      </c>
      <c r="E344" s="57" t="s">
        <v>21</v>
      </c>
      <c r="F344" s="57" t="s">
        <v>18</v>
      </c>
      <c r="G344" s="57" t="s">
        <v>22</v>
      </c>
      <c r="H344" s="57" t="s">
        <v>19</v>
      </c>
      <c r="I344" s="57" t="s">
        <v>24</v>
      </c>
      <c r="J344" s="57" t="s">
        <v>18</v>
      </c>
      <c r="K344" s="57" t="s">
        <v>18</v>
      </c>
      <c r="L344" s="57" t="s">
        <v>20</v>
      </c>
      <c r="M344" s="57" t="s">
        <v>37</v>
      </c>
      <c r="N344" s="57" t="s">
        <v>18</v>
      </c>
      <c r="O344" s="57" t="s">
        <v>24</v>
      </c>
      <c r="P344" s="57" t="s">
        <v>22</v>
      </c>
      <c r="Q344" s="57" t="s">
        <v>46</v>
      </c>
      <c r="R344" s="149"/>
      <c r="S344" s="66" t="s">
        <v>0</v>
      </c>
      <c r="T344" s="1">
        <v>143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2">
        <f t="shared" si="87"/>
        <v>143</v>
      </c>
      <c r="AB344" s="61">
        <v>2018</v>
      </c>
      <c r="AC344" s="9"/>
      <c r="AD344" s="104"/>
      <c r="AE344" s="104"/>
    </row>
    <row r="345" spans="1:31" ht="16.350000000000001" hidden="1" customHeight="1" x14ac:dyDescent="0.25">
      <c r="A345" s="57" t="s">
        <v>18</v>
      </c>
      <c r="B345" s="57" t="s">
        <v>18</v>
      </c>
      <c r="C345" s="57" t="s">
        <v>21</v>
      </c>
      <c r="D345" s="57" t="s">
        <v>18</v>
      </c>
      <c r="E345" s="57" t="s">
        <v>21</v>
      </c>
      <c r="F345" s="57" t="s">
        <v>18</v>
      </c>
      <c r="G345" s="57" t="s">
        <v>22</v>
      </c>
      <c r="H345" s="57" t="s">
        <v>19</v>
      </c>
      <c r="I345" s="57" t="s">
        <v>24</v>
      </c>
      <c r="J345" s="57" t="s">
        <v>18</v>
      </c>
      <c r="K345" s="57" t="s">
        <v>18</v>
      </c>
      <c r="L345" s="57" t="s">
        <v>20</v>
      </c>
      <c r="M345" s="57" t="s">
        <v>37</v>
      </c>
      <c r="N345" s="57" t="s">
        <v>18</v>
      </c>
      <c r="O345" s="57" t="s">
        <v>24</v>
      </c>
      <c r="P345" s="57" t="s">
        <v>22</v>
      </c>
      <c r="Q345" s="57" t="s">
        <v>39</v>
      </c>
      <c r="R345" s="149"/>
      <c r="S345" s="66" t="s">
        <v>0</v>
      </c>
      <c r="T345" s="1">
        <v>745.5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2">
        <f t="shared" si="87"/>
        <v>745.5</v>
      </c>
      <c r="AB345" s="61">
        <v>2018</v>
      </c>
      <c r="AC345" s="9"/>
      <c r="AD345" s="104"/>
      <c r="AE345" s="104"/>
    </row>
    <row r="346" spans="1:31" ht="36.6" hidden="1" customHeight="1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83" t="s">
        <v>230</v>
      </c>
      <c r="S346" s="87" t="s">
        <v>181</v>
      </c>
      <c r="T346" s="3">
        <v>1070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6">
        <f t="shared" si="87"/>
        <v>1070</v>
      </c>
      <c r="AB346" s="41">
        <v>2018</v>
      </c>
      <c r="AC346" s="9"/>
      <c r="AD346" s="104"/>
      <c r="AE346" s="104"/>
    </row>
    <row r="347" spans="1:31" ht="19.899999999999999" hidden="1" customHeight="1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149" t="s">
        <v>231</v>
      </c>
      <c r="S347" s="66" t="s">
        <v>0</v>
      </c>
      <c r="T347" s="1">
        <f>SUM(T348:T352)</f>
        <v>263.89999999999998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2">
        <f t="shared" si="87"/>
        <v>263.89999999999998</v>
      </c>
      <c r="AB347" s="61">
        <v>2018</v>
      </c>
      <c r="AC347" s="9"/>
      <c r="AD347" s="104"/>
      <c r="AE347" s="104"/>
    </row>
    <row r="348" spans="1:31" ht="16.350000000000001" hidden="1" customHeight="1" x14ac:dyDescent="0.25">
      <c r="A348" s="57" t="s">
        <v>18</v>
      </c>
      <c r="B348" s="57" t="s">
        <v>18</v>
      </c>
      <c r="C348" s="57" t="s">
        <v>21</v>
      </c>
      <c r="D348" s="57" t="s">
        <v>18</v>
      </c>
      <c r="E348" s="57" t="s">
        <v>21</v>
      </c>
      <c r="F348" s="57" t="s">
        <v>18</v>
      </c>
      <c r="G348" s="57" t="s">
        <v>22</v>
      </c>
      <c r="H348" s="57" t="s">
        <v>19</v>
      </c>
      <c r="I348" s="57" t="s">
        <v>24</v>
      </c>
      <c r="J348" s="57" t="s">
        <v>18</v>
      </c>
      <c r="K348" s="57" t="s">
        <v>18</v>
      </c>
      <c r="L348" s="57" t="s">
        <v>20</v>
      </c>
      <c r="M348" s="57" t="s">
        <v>19</v>
      </c>
      <c r="N348" s="57" t="s">
        <v>18</v>
      </c>
      <c r="O348" s="57" t="s">
        <v>24</v>
      </c>
      <c r="P348" s="57" t="s">
        <v>22</v>
      </c>
      <c r="Q348" s="57" t="s">
        <v>45</v>
      </c>
      <c r="R348" s="149"/>
      <c r="S348" s="66" t="s">
        <v>0</v>
      </c>
      <c r="T348" s="1">
        <v>105.5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2">
        <f t="shared" si="87"/>
        <v>105.5</v>
      </c>
      <c r="AB348" s="61">
        <v>2018</v>
      </c>
      <c r="AC348" s="9"/>
      <c r="AD348" s="104"/>
      <c r="AE348" s="104"/>
    </row>
    <row r="349" spans="1:31" ht="16.350000000000001" hidden="1" customHeight="1" x14ac:dyDescent="0.25">
      <c r="A349" s="57" t="s">
        <v>18</v>
      </c>
      <c r="B349" s="57" t="s">
        <v>18</v>
      </c>
      <c r="C349" s="57" t="s">
        <v>21</v>
      </c>
      <c r="D349" s="57" t="s">
        <v>18</v>
      </c>
      <c r="E349" s="57" t="s">
        <v>21</v>
      </c>
      <c r="F349" s="57" t="s">
        <v>18</v>
      </c>
      <c r="G349" s="57" t="s">
        <v>22</v>
      </c>
      <c r="H349" s="57" t="s">
        <v>19</v>
      </c>
      <c r="I349" s="57" t="s">
        <v>24</v>
      </c>
      <c r="J349" s="57" t="s">
        <v>18</v>
      </c>
      <c r="K349" s="57" t="s">
        <v>18</v>
      </c>
      <c r="L349" s="57" t="s">
        <v>20</v>
      </c>
      <c r="M349" s="57" t="s">
        <v>19</v>
      </c>
      <c r="N349" s="57" t="s">
        <v>18</v>
      </c>
      <c r="O349" s="57" t="s">
        <v>43</v>
      </c>
      <c r="P349" s="57" t="s">
        <v>22</v>
      </c>
      <c r="Q349" s="57" t="s">
        <v>184</v>
      </c>
      <c r="R349" s="149"/>
      <c r="S349" s="66" t="s">
        <v>0</v>
      </c>
      <c r="T349" s="1">
        <v>20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62">
        <f t="shared" si="87"/>
        <v>20</v>
      </c>
      <c r="AB349" s="61">
        <v>2018</v>
      </c>
      <c r="AC349" s="9"/>
      <c r="AD349" s="104"/>
      <c r="AE349" s="104"/>
    </row>
    <row r="350" spans="1:31" ht="16.350000000000001" hidden="1" customHeight="1" x14ac:dyDescent="0.25">
      <c r="A350" s="57" t="s">
        <v>18</v>
      </c>
      <c r="B350" s="57" t="s">
        <v>18</v>
      </c>
      <c r="C350" s="57" t="s">
        <v>21</v>
      </c>
      <c r="D350" s="57" t="s">
        <v>18</v>
      </c>
      <c r="E350" s="57" t="s">
        <v>21</v>
      </c>
      <c r="F350" s="57" t="s">
        <v>18</v>
      </c>
      <c r="G350" s="57" t="s">
        <v>22</v>
      </c>
      <c r="H350" s="57" t="s">
        <v>19</v>
      </c>
      <c r="I350" s="57" t="s">
        <v>24</v>
      </c>
      <c r="J350" s="57" t="s">
        <v>18</v>
      </c>
      <c r="K350" s="57" t="s">
        <v>18</v>
      </c>
      <c r="L350" s="57" t="s">
        <v>20</v>
      </c>
      <c r="M350" s="57" t="s">
        <v>37</v>
      </c>
      <c r="N350" s="57" t="s">
        <v>18</v>
      </c>
      <c r="O350" s="57" t="s">
        <v>24</v>
      </c>
      <c r="P350" s="57" t="s">
        <v>22</v>
      </c>
      <c r="Q350" s="57" t="s">
        <v>46</v>
      </c>
      <c r="R350" s="149"/>
      <c r="S350" s="66" t="s">
        <v>0</v>
      </c>
      <c r="T350" s="1">
        <v>19.399999999999999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2">
        <f t="shared" si="87"/>
        <v>19.399999999999999</v>
      </c>
      <c r="AB350" s="61">
        <v>2018</v>
      </c>
      <c r="AC350" s="9"/>
      <c r="AD350" s="104"/>
      <c r="AE350" s="104"/>
    </row>
    <row r="351" spans="1:31" ht="16.350000000000001" hidden="1" customHeight="1" x14ac:dyDescent="0.25">
      <c r="A351" s="57" t="s">
        <v>18</v>
      </c>
      <c r="B351" s="57" t="s">
        <v>18</v>
      </c>
      <c r="C351" s="57" t="s">
        <v>21</v>
      </c>
      <c r="D351" s="57" t="s">
        <v>18</v>
      </c>
      <c r="E351" s="57" t="s">
        <v>21</v>
      </c>
      <c r="F351" s="57" t="s">
        <v>18</v>
      </c>
      <c r="G351" s="57" t="s">
        <v>22</v>
      </c>
      <c r="H351" s="57" t="s">
        <v>19</v>
      </c>
      <c r="I351" s="57" t="s">
        <v>24</v>
      </c>
      <c r="J351" s="57" t="s">
        <v>18</v>
      </c>
      <c r="K351" s="57" t="s">
        <v>18</v>
      </c>
      <c r="L351" s="57" t="s">
        <v>20</v>
      </c>
      <c r="M351" s="57" t="s">
        <v>37</v>
      </c>
      <c r="N351" s="57" t="s">
        <v>18</v>
      </c>
      <c r="O351" s="57" t="s">
        <v>24</v>
      </c>
      <c r="P351" s="57" t="s">
        <v>22</v>
      </c>
      <c r="Q351" s="57" t="s">
        <v>46</v>
      </c>
      <c r="R351" s="149"/>
      <c r="S351" s="66" t="s">
        <v>0</v>
      </c>
      <c r="T351" s="1">
        <v>39.6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2">
        <f t="shared" si="87"/>
        <v>39.6</v>
      </c>
      <c r="AB351" s="61">
        <v>2018</v>
      </c>
      <c r="AC351" s="9"/>
      <c r="AD351" s="104"/>
      <c r="AE351" s="104"/>
    </row>
    <row r="352" spans="1:31" ht="16.350000000000001" hidden="1" customHeight="1" x14ac:dyDescent="0.25">
      <c r="A352" s="57" t="s">
        <v>18</v>
      </c>
      <c r="B352" s="57" t="s">
        <v>18</v>
      </c>
      <c r="C352" s="57" t="s">
        <v>21</v>
      </c>
      <c r="D352" s="57" t="s">
        <v>18</v>
      </c>
      <c r="E352" s="57" t="s">
        <v>21</v>
      </c>
      <c r="F352" s="57" t="s">
        <v>18</v>
      </c>
      <c r="G352" s="57" t="s">
        <v>22</v>
      </c>
      <c r="H352" s="57" t="s">
        <v>19</v>
      </c>
      <c r="I352" s="57" t="s">
        <v>24</v>
      </c>
      <c r="J352" s="57" t="s">
        <v>18</v>
      </c>
      <c r="K352" s="57" t="s">
        <v>18</v>
      </c>
      <c r="L352" s="57" t="s">
        <v>20</v>
      </c>
      <c r="M352" s="57" t="s">
        <v>37</v>
      </c>
      <c r="N352" s="57" t="s">
        <v>18</v>
      </c>
      <c r="O352" s="57" t="s">
        <v>24</v>
      </c>
      <c r="P352" s="57" t="s">
        <v>22</v>
      </c>
      <c r="Q352" s="57" t="s">
        <v>39</v>
      </c>
      <c r="R352" s="149"/>
      <c r="S352" s="66" t="s">
        <v>0</v>
      </c>
      <c r="T352" s="1">
        <v>79.400000000000006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2">
        <f t="shared" si="87"/>
        <v>79.400000000000006</v>
      </c>
      <c r="AB352" s="61">
        <v>2018</v>
      </c>
      <c r="AC352" s="9"/>
      <c r="AD352" s="104"/>
      <c r="AE352" s="104"/>
    </row>
    <row r="353" spans="1:31" ht="36.6" hidden="1" customHeight="1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83" t="s">
        <v>232</v>
      </c>
      <c r="S353" s="87" t="s">
        <v>8</v>
      </c>
      <c r="T353" s="44">
        <v>5</v>
      </c>
      <c r="U353" s="44">
        <v>0</v>
      </c>
      <c r="V353" s="44">
        <v>0</v>
      </c>
      <c r="W353" s="44">
        <v>0</v>
      </c>
      <c r="X353" s="44">
        <v>0</v>
      </c>
      <c r="Y353" s="44">
        <v>0</v>
      </c>
      <c r="Z353" s="44">
        <v>0</v>
      </c>
      <c r="AA353" s="6">
        <f t="shared" si="87"/>
        <v>5</v>
      </c>
      <c r="AB353" s="41">
        <v>2018</v>
      </c>
      <c r="AC353" s="9"/>
      <c r="AD353" s="104"/>
      <c r="AE353" s="104"/>
    </row>
    <row r="354" spans="1:31" ht="15.6" hidden="1" customHeight="1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149" t="s">
        <v>233</v>
      </c>
      <c r="S354" s="66" t="s">
        <v>0</v>
      </c>
      <c r="T354" s="1">
        <f>SUM(T355:T359)</f>
        <v>490.3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2">
        <f t="shared" si="87"/>
        <v>490.3</v>
      </c>
      <c r="AB354" s="61">
        <v>2018</v>
      </c>
      <c r="AC354" s="9"/>
      <c r="AD354" s="104"/>
      <c r="AE354" s="104"/>
    </row>
    <row r="355" spans="1:31" ht="15.6" hidden="1" customHeight="1" x14ac:dyDescent="0.25">
      <c r="A355" s="57" t="s">
        <v>18</v>
      </c>
      <c r="B355" s="57" t="s">
        <v>18</v>
      </c>
      <c r="C355" s="57" t="s">
        <v>21</v>
      </c>
      <c r="D355" s="57" t="s">
        <v>18</v>
      </c>
      <c r="E355" s="57" t="s">
        <v>24</v>
      </c>
      <c r="F355" s="57" t="s">
        <v>18</v>
      </c>
      <c r="G355" s="57" t="s">
        <v>43</v>
      </c>
      <c r="H355" s="57" t="s">
        <v>19</v>
      </c>
      <c r="I355" s="57" t="s">
        <v>24</v>
      </c>
      <c r="J355" s="57" t="s">
        <v>18</v>
      </c>
      <c r="K355" s="57" t="s">
        <v>18</v>
      </c>
      <c r="L355" s="57" t="s">
        <v>20</v>
      </c>
      <c r="M355" s="57" t="s">
        <v>19</v>
      </c>
      <c r="N355" s="57" t="s">
        <v>18</v>
      </c>
      <c r="O355" s="57" t="s">
        <v>24</v>
      </c>
      <c r="P355" s="57" t="s">
        <v>22</v>
      </c>
      <c r="Q355" s="57" t="s">
        <v>45</v>
      </c>
      <c r="R355" s="149"/>
      <c r="S355" s="66" t="s">
        <v>0</v>
      </c>
      <c r="T355" s="1">
        <v>196.1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2">
        <f t="shared" si="87"/>
        <v>196.1</v>
      </c>
      <c r="AB355" s="61">
        <v>2018</v>
      </c>
      <c r="AC355" s="9"/>
      <c r="AD355" s="104"/>
      <c r="AE355" s="104"/>
    </row>
    <row r="356" spans="1:31" ht="15.6" hidden="1" customHeight="1" x14ac:dyDescent="0.25">
      <c r="A356" s="57" t="s">
        <v>18</v>
      </c>
      <c r="B356" s="57" t="s">
        <v>18</v>
      </c>
      <c r="C356" s="57" t="s">
        <v>21</v>
      </c>
      <c r="D356" s="57" t="s">
        <v>18</v>
      </c>
      <c r="E356" s="57" t="s">
        <v>24</v>
      </c>
      <c r="F356" s="57" t="s">
        <v>18</v>
      </c>
      <c r="G356" s="57" t="s">
        <v>43</v>
      </c>
      <c r="H356" s="57" t="s">
        <v>19</v>
      </c>
      <c r="I356" s="57" t="s">
        <v>24</v>
      </c>
      <c r="J356" s="57" t="s">
        <v>18</v>
      </c>
      <c r="K356" s="57" t="s">
        <v>18</v>
      </c>
      <c r="L356" s="57" t="s">
        <v>20</v>
      </c>
      <c r="M356" s="57" t="s">
        <v>19</v>
      </c>
      <c r="N356" s="57" t="s">
        <v>18</v>
      </c>
      <c r="O356" s="57" t="s">
        <v>43</v>
      </c>
      <c r="P356" s="57" t="s">
        <v>22</v>
      </c>
      <c r="Q356" s="57" t="s">
        <v>184</v>
      </c>
      <c r="R356" s="149"/>
      <c r="S356" s="66" t="s">
        <v>0</v>
      </c>
      <c r="T356" s="1">
        <v>30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62">
        <f>SUM(T356:Y356)</f>
        <v>30</v>
      </c>
      <c r="AB356" s="61">
        <v>2018</v>
      </c>
      <c r="AC356" s="9"/>
      <c r="AD356" s="104"/>
      <c r="AE356" s="104"/>
    </row>
    <row r="357" spans="1:31" ht="15.6" hidden="1" customHeight="1" x14ac:dyDescent="0.25">
      <c r="A357" s="57" t="s">
        <v>18</v>
      </c>
      <c r="B357" s="57" t="s">
        <v>18</v>
      </c>
      <c r="C357" s="57" t="s">
        <v>21</v>
      </c>
      <c r="D357" s="57" t="s">
        <v>18</v>
      </c>
      <c r="E357" s="57" t="s">
        <v>24</v>
      </c>
      <c r="F357" s="57" t="s">
        <v>18</v>
      </c>
      <c r="G357" s="57" t="s">
        <v>43</v>
      </c>
      <c r="H357" s="57" t="s">
        <v>19</v>
      </c>
      <c r="I357" s="57" t="s">
        <v>24</v>
      </c>
      <c r="J357" s="57" t="s">
        <v>18</v>
      </c>
      <c r="K357" s="57" t="s">
        <v>18</v>
      </c>
      <c r="L357" s="57" t="s">
        <v>20</v>
      </c>
      <c r="M357" s="57" t="s">
        <v>37</v>
      </c>
      <c r="N357" s="57" t="s">
        <v>18</v>
      </c>
      <c r="O357" s="57" t="s">
        <v>24</v>
      </c>
      <c r="P357" s="57" t="s">
        <v>22</v>
      </c>
      <c r="Q357" s="57" t="s">
        <v>46</v>
      </c>
      <c r="R357" s="149"/>
      <c r="S357" s="66" t="s">
        <v>0</v>
      </c>
      <c r="T357" s="1">
        <v>33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2">
        <f t="shared" si="87"/>
        <v>33</v>
      </c>
      <c r="AB357" s="61">
        <v>2018</v>
      </c>
      <c r="AC357" s="9"/>
      <c r="AD357" s="104"/>
      <c r="AE357" s="104"/>
    </row>
    <row r="358" spans="1:31" ht="15.6" hidden="1" customHeight="1" x14ac:dyDescent="0.25">
      <c r="A358" s="57" t="s">
        <v>18</v>
      </c>
      <c r="B358" s="57" t="s">
        <v>18</v>
      </c>
      <c r="C358" s="57" t="s">
        <v>21</v>
      </c>
      <c r="D358" s="57" t="s">
        <v>18</v>
      </c>
      <c r="E358" s="57" t="s">
        <v>24</v>
      </c>
      <c r="F358" s="57" t="s">
        <v>18</v>
      </c>
      <c r="G358" s="57" t="s">
        <v>43</v>
      </c>
      <c r="H358" s="57" t="s">
        <v>19</v>
      </c>
      <c r="I358" s="57" t="s">
        <v>24</v>
      </c>
      <c r="J358" s="57" t="s">
        <v>18</v>
      </c>
      <c r="K358" s="57" t="s">
        <v>18</v>
      </c>
      <c r="L358" s="57" t="s">
        <v>20</v>
      </c>
      <c r="M358" s="57" t="s">
        <v>37</v>
      </c>
      <c r="N358" s="57" t="s">
        <v>18</v>
      </c>
      <c r="O358" s="57" t="s">
        <v>24</v>
      </c>
      <c r="P358" s="57" t="s">
        <v>22</v>
      </c>
      <c r="Q358" s="57" t="s">
        <v>46</v>
      </c>
      <c r="R358" s="149"/>
      <c r="S358" s="66" t="s">
        <v>0</v>
      </c>
      <c r="T358" s="1">
        <v>102.9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2">
        <f t="shared" si="87"/>
        <v>102.9</v>
      </c>
      <c r="AB358" s="61">
        <v>2018</v>
      </c>
      <c r="AC358" s="9"/>
      <c r="AD358" s="104"/>
      <c r="AE358" s="104"/>
    </row>
    <row r="359" spans="1:31" ht="15.6" hidden="1" customHeight="1" x14ac:dyDescent="0.25">
      <c r="A359" s="57" t="s">
        <v>18</v>
      </c>
      <c r="B359" s="57" t="s">
        <v>18</v>
      </c>
      <c r="C359" s="57" t="s">
        <v>21</v>
      </c>
      <c r="D359" s="57" t="s">
        <v>18</v>
      </c>
      <c r="E359" s="57" t="s">
        <v>24</v>
      </c>
      <c r="F359" s="57" t="s">
        <v>18</v>
      </c>
      <c r="G359" s="57" t="s">
        <v>43</v>
      </c>
      <c r="H359" s="57" t="s">
        <v>19</v>
      </c>
      <c r="I359" s="57" t="s">
        <v>24</v>
      </c>
      <c r="J359" s="57" t="s">
        <v>18</v>
      </c>
      <c r="K359" s="57" t="s">
        <v>18</v>
      </c>
      <c r="L359" s="57" t="s">
        <v>20</v>
      </c>
      <c r="M359" s="57" t="s">
        <v>37</v>
      </c>
      <c r="N359" s="57" t="s">
        <v>18</v>
      </c>
      <c r="O359" s="57" t="s">
        <v>24</v>
      </c>
      <c r="P359" s="57" t="s">
        <v>22</v>
      </c>
      <c r="Q359" s="57" t="s">
        <v>39</v>
      </c>
      <c r="R359" s="149"/>
      <c r="S359" s="66" t="s">
        <v>0</v>
      </c>
      <c r="T359" s="1">
        <v>128.30000000000001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2">
        <f t="shared" si="87"/>
        <v>128.30000000000001</v>
      </c>
      <c r="AB359" s="61">
        <v>2018</v>
      </c>
      <c r="AC359" s="9"/>
      <c r="AD359" s="104"/>
      <c r="AE359" s="104"/>
    </row>
    <row r="360" spans="1:31" ht="31.15" hidden="1" customHeight="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81" t="s">
        <v>234</v>
      </c>
      <c r="S360" s="92" t="s">
        <v>186</v>
      </c>
      <c r="T360" s="3">
        <v>180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6">
        <f t="shared" si="87"/>
        <v>180</v>
      </c>
      <c r="AB360" s="41">
        <v>2018</v>
      </c>
      <c r="AC360" s="9"/>
      <c r="AD360" s="104"/>
      <c r="AE360" s="104"/>
    </row>
    <row r="361" spans="1:31" ht="15.6" hidden="1" customHeight="1" x14ac:dyDescent="0.25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149" t="s">
        <v>235</v>
      </c>
      <c r="S361" s="66" t="s">
        <v>0</v>
      </c>
      <c r="T361" s="1">
        <f>SUM(T362:T366)</f>
        <v>1177.5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2">
        <f t="shared" si="87"/>
        <v>1177.5</v>
      </c>
      <c r="AB361" s="61">
        <v>2018</v>
      </c>
      <c r="AC361" s="9"/>
      <c r="AD361" s="104"/>
      <c r="AE361" s="104"/>
    </row>
    <row r="362" spans="1:31" ht="15.6" hidden="1" customHeight="1" x14ac:dyDescent="0.25">
      <c r="A362" s="57" t="s">
        <v>18</v>
      </c>
      <c r="B362" s="57" t="s">
        <v>18</v>
      </c>
      <c r="C362" s="57" t="s">
        <v>21</v>
      </c>
      <c r="D362" s="57" t="s">
        <v>18</v>
      </c>
      <c r="E362" s="57" t="s">
        <v>21</v>
      </c>
      <c r="F362" s="57" t="s">
        <v>18</v>
      </c>
      <c r="G362" s="57" t="s">
        <v>22</v>
      </c>
      <c r="H362" s="57" t="s">
        <v>19</v>
      </c>
      <c r="I362" s="57" t="s">
        <v>24</v>
      </c>
      <c r="J362" s="57" t="s">
        <v>18</v>
      </c>
      <c r="K362" s="57" t="s">
        <v>18</v>
      </c>
      <c r="L362" s="57" t="s">
        <v>20</v>
      </c>
      <c r="M362" s="57" t="s">
        <v>19</v>
      </c>
      <c r="N362" s="57" t="s">
        <v>18</v>
      </c>
      <c r="O362" s="57" t="s">
        <v>24</v>
      </c>
      <c r="P362" s="57" t="s">
        <v>22</v>
      </c>
      <c r="Q362" s="57" t="s">
        <v>45</v>
      </c>
      <c r="R362" s="149"/>
      <c r="S362" s="66" t="s">
        <v>0</v>
      </c>
      <c r="T362" s="1">
        <v>400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2">
        <f t="shared" si="87"/>
        <v>400</v>
      </c>
      <c r="AB362" s="61">
        <v>2018</v>
      </c>
      <c r="AC362" s="9"/>
      <c r="AD362" s="104"/>
      <c r="AE362" s="104"/>
    </row>
    <row r="363" spans="1:31" ht="15.6" hidden="1" customHeight="1" x14ac:dyDescent="0.25">
      <c r="A363" s="57" t="s">
        <v>18</v>
      </c>
      <c r="B363" s="57" t="s">
        <v>18</v>
      </c>
      <c r="C363" s="57" t="s">
        <v>21</v>
      </c>
      <c r="D363" s="57" t="s">
        <v>18</v>
      </c>
      <c r="E363" s="57" t="s">
        <v>21</v>
      </c>
      <c r="F363" s="57" t="s">
        <v>18</v>
      </c>
      <c r="G363" s="57" t="s">
        <v>22</v>
      </c>
      <c r="H363" s="57" t="s">
        <v>19</v>
      </c>
      <c r="I363" s="57" t="s">
        <v>24</v>
      </c>
      <c r="J363" s="57" t="s">
        <v>18</v>
      </c>
      <c r="K363" s="57" t="s">
        <v>18</v>
      </c>
      <c r="L363" s="57" t="s">
        <v>20</v>
      </c>
      <c r="M363" s="57" t="s">
        <v>19</v>
      </c>
      <c r="N363" s="57" t="s">
        <v>18</v>
      </c>
      <c r="O363" s="57" t="s">
        <v>43</v>
      </c>
      <c r="P363" s="57" t="s">
        <v>22</v>
      </c>
      <c r="Q363" s="57" t="s">
        <v>184</v>
      </c>
      <c r="R363" s="149"/>
      <c r="S363" s="66" t="s">
        <v>0</v>
      </c>
      <c r="T363" s="1">
        <v>45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62">
        <f t="shared" si="87"/>
        <v>45</v>
      </c>
      <c r="AB363" s="61">
        <v>2018</v>
      </c>
      <c r="AC363" s="9"/>
      <c r="AD363" s="104"/>
      <c r="AE363" s="104"/>
    </row>
    <row r="364" spans="1:31" ht="15.6" hidden="1" customHeight="1" x14ac:dyDescent="0.25">
      <c r="A364" s="57" t="s">
        <v>18</v>
      </c>
      <c r="B364" s="57" t="s">
        <v>18</v>
      </c>
      <c r="C364" s="57" t="s">
        <v>21</v>
      </c>
      <c r="D364" s="57" t="s">
        <v>18</v>
      </c>
      <c r="E364" s="57" t="s">
        <v>21</v>
      </c>
      <c r="F364" s="57" t="s">
        <v>18</v>
      </c>
      <c r="G364" s="57" t="s">
        <v>22</v>
      </c>
      <c r="H364" s="57" t="s">
        <v>19</v>
      </c>
      <c r="I364" s="57" t="s">
        <v>24</v>
      </c>
      <c r="J364" s="57" t="s">
        <v>18</v>
      </c>
      <c r="K364" s="57" t="s">
        <v>18</v>
      </c>
      <c r="L364" s="57" t="s">
        <v>20</v>
      </c>
      <c r="M364" s="57" t="s">
        <v>37</v>
      </c>
      <c r="N364" s="57" t="s">
        <v>18</v>
      </c>
      <c r="O364" s="57" t="s">
        <v>24</v>
      </c>
      <c r="P364" s="57" t="s">
        <v>22</v>
      </c>
      <c r="Q364" s="57" t="s">
        <v>46</v>
      </c>
      <c r="R364" s="149"/>
      <c r="S364" s="66" t="s">
        <v>0</v>
      </c>
      <c r="T364" s="1">
        <v>58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2">
        <f t="shared" si="87"/>
        <v>58</v>
      </c>
      <c r="AB364" s="61">
        <v>2018</v>
      </c>
      <c r="AC364" s="9"/>
      <c r="AD364" s="104"/>
      <c r="AE364" s="104"/>
    </row>
    <row r="365" spans="1:31" ht="15.6" hidden="1" customHeight="1" x14ac:dyDescent="0.25">
      <c r="A365" s="57" t="s">
        <v>18</v>
      </c>
      <c r="B365" s="57" t="s">
        <v>18</v>
      </c>
      <c r="C365" s="57" t="s">
        <v>21</v>
      </c>
      <c r="D365" s="57" t="s">
        <v>18</v>
      </c>
      <c r="E365" s="57" t="s">
        <v>21</v>
      </c>
      <c r="F365" s="57" t="s">
        <v>18</v>
      </c>
      <c r="G365" s="57" t="s">
        <v>22</v>
      </c>
      <c r="H365" s="57" t="s">
        <v>19</v>
      </c>
      <c r="I365" s="57" t="s">
        <v>24</v>
      </c>
      <c r="J365" s="57" t="s">
        <v>18</v>
      </c>
      <c r="K365" s="57" t="s">
        <v>18</v>
      </c>
      <c r="L365" s="57" t="s">
        <v>20</v>
      </c>
      <c r="M365" s="57" t="s">
        <v>37</v>
      </c>
      <c r="N365" s="57" t="s">
        <v>18</v>
      </c>
      <c r="O365" s="57" t="s">
        <v>24</v>
      </c>
      <c r="P365" s="57" t="s">
        <v>22</v>
      </c>
      <c r="Q365" s="57" t="s">
        <v>46</v>
      </c>
      <c r="R365" s="149"/>
      <c r="S365" s="66" t="s">
        <v>0</v>
      </c>
      <c r="T365" s="1">
        <v>353.3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2">
        <f t="shared" si="87"/>
        <v>353.3</v>
      </c>
      <c r="AB365" s="61">
        <v>2018</v>
      </c>
      <c r="AC365" s="89"/>
      <c r="AD365" s="104"/>
      <c r="AE365" s="104"/>
    </row>
    <row r="366" spans="1:31" ht="15.6" hidden="1" customHeight="1" x14ac:dyDescent="0.25">
      <c r="A366" s="57" t="s">
        <v>18</v>
      </c>
      <c r="B366" s="57" t="s">
        <v>18</v>
      </c>
      <c r="C366" s="57" t="s">
        <v>21</v>
      </c>
      <c r="D366" s="57" t="s">
        <v>18</v>
      </c>
      <c r="E366" s="57" t="s">
        <v>21</v>
      </c>
      <c r="F366" s="57" t="s">
        <v>18</v>
      </c>
      <c r="G366" s="57" t="s">
        <v>22</v>
      </c>
      <c r="H366" s="57" t="s">
        <v>19</v>
      </c>
      <c r="I366" s="57" t="s">
        <v>24</v>
      </c>
      <c r="J366" s="57" t="s">
        <v>18</v>
      </c>
      <c r="K366" s="57" t="s">
        <v>18</v>
      </c>
      <c r="L366" s="57" t="s">
        <v>20</v>
      </c>
      <c r="M366" s="57" t="s">
        <v>37</v>
      </c>
      <c r="N366" s="57" t="s">
        <v>18</v>
      </c>
      <c r="O366" s="57" t="s">
        <v>24</v>
      </c>
      <c r="P366" s="57" t="s">
        <v>22</v>
      </c>
      <c r="Q366" s="57" t="s">
        <v>39</v>
      </c>
      <c r="R366" s="149"/>
      <c r="S366" s="66" t="s">
        <v>0</v>
      </c>
      <c r="T366" s="1">
        <v>321.2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2">
        <f t="shared" si="87"/>
        <v>321.2</v>
      </c>
      <c r="AB366" s="61">
        <v>2018</v>
      </c>
      <c r="AC366" s="9"/>
      <c r="AD366" s="104"/>
      <c r="AE366" s="104"/>
    </row>
    <row r="367" spans="1:31" ht="27.6" hidden="1" customHeight="1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91" t="s">
        <v>236</v>
      </c>
      <c r="S367" s="87" t="s">
        <v>8</v>
      </c>
      <c r="T367" s="44">
        <v>1</v>
      </c>
      <c r="U367" s="44">
        <v>0</v>
      </c>
      <c r="V367" s="44">
        <v>0</v>
      </c>
      <c r="W367" s="44">
        <v>0</v>
      </c>
      <c r="X367" s="44">
        <v>0</v>
      </c>
      <c r="Y367" s="44">
        <v>0</v>
      </c>
      <c r="Z367" s="44">
        <v>0</v>
      </c>
      <c r="AA367" s="52">
        <f t="shared" si="87"/>
        <v>1</v>
      </c>
      <c r="AB367" s="41">
        <v>2018</v>
      </c>
      <c r="AC367" s="9"/>
      <c r="AD367" s="104"/>
      <c r="AE367" s="104"/>
    </row>
    <row r="368" spans="1:31" ht="15.6" hidden="1" customHeight="1" x14ac:dyDescent="0.25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149" t="s">
        <v>237</v>
      </c>
      <c r="S368" s="66" t="s">
        <v>0</v>
      </c>
      <c r="T368" s="1">
        <f>SUM(T369:T372)</f>
        <v>979.3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2">
        <f t="shared" si="87"/>
        <v>979.3</v>
      </c>
      <c r="AB368" s="61">
        <v>2018</v>
      </c>
      <c r="AC368" s="9"/>
      <c r="AD368" s="104"/>
      <c r="AE368" s="104"/>
    </row>
    <row r="369" spans="1:31" ht="15.6" hidden="1" customHeight="1" x14ac:dyDescent="0.25">
      <c r="A369" s="57" t="s">
        <v>18</v>
      </c>
      <c r="B369" s="57" t="s">
        <v>18</v>
      </c>
      <c r="C369" s="57" t="s">
        <v>21</v>
      </c>
      <c r="D369" s="57" t="s">
        <v>18</v>
      </c>
      <c r="E369" s="57" t="s">
        <v>21</v>
      </c>
      <c r="F369" s="57" t="s">
        <v>18</v>
      </c>
      <c r="G369" s="57" t="s">
        <v>22</v>
      </c>
      <c r="H369" s="57" t="s">
        <v>19</v>
      </c>
      <c r="I369" s="57" t="s">
        <v>24</v>
      </c>
      <c r="J369" s="57" t="s">
        <v>18</v>
      </c>
      <c r="K369" s="57" t="s">
        <v>18</v>
      </c>
      <c r="L369" s="57" t="s">
        <v>20</v>
      </c>
      <c r="M369" s="57" t="s">
        <v>19</v>
      </c>
      <c r="N369" s="57" t="s">
        <v>18</v>
      </c>
      <c r="O369" s="57" t="s">
        <v>24</v>
      </c>
      <c r="P369" s="57" t="s">
        <v>22</v>
      </c>
      <c r="Q369" s="57" t="s">
        <v>45</v>
      </c>
      <c r="R369" s="149"/>
      <c r="S369" s="66" t="s">
        <v>0</v>
      </c>
      <c r="T369" s="1">
        <v>391.7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62">
        <f t="shared" si="87"/>
        <v>391.7</v>
      </c>
      <c r="AB369" s="61">
        <v>2018</v>
      </c>
      <c r="AC369" s="9"/>
      <c r="AD369" s="104"/>
      <c r="AE369" s="104"/>
    </row>
    <row r="370" spans="1:31" ht="15.6" hidden="1" customHeight="1" x14ac:dyDescent="0.25">
      <c r="A370" s="57" t="s">
        <v>18</v>
      </c>
      <c r="B370" s="57" t="s">
        <v>18</v>
      </c>
      <c r="C370" s="57" t="s">
        <v>21</v>
      </c>
      <c r="D370" s="57" t="s">
        <v>18</v>
      </c>
      <c r="E370" s="57" t="s">
        <v>21</v>
      </c>
      <c r="F370" s="57" t="s">
        <v>18</v>
      </c>
      <c r="G370" s="57" t="s">
        <v>22</v>
      </c>
      <c r="H370" s="57" t="s">
        <v>19</v>
      </c>
      <c r="I370" s="57" t="s">
        <v>24</v>
      </c>
      <c r="J370" s="57" t="s">
        <v>18</v>
      </c>
      <c r="K370" s="57" t="s">
        <v>18</v>
      </c>
      <c r="L370" s="57" t="s">
        <v>20</v>
      </c>
      <c r="M370" s="57" t="s">
        <v>37</v>
      </c>
      <c r="N370" s="57" t="s">
        <v>18</v>
      </c>
      <c r="O370" s="57" t="s">
        <v>43</v>
      </c>
      <c r="P370" s="57" t="s">
        <v>22</v>
      </c>
      <c r="Q370" s="57" t="s">
        <v>184</v>
      </c>
      <c r="R370" s="149"/>
      <c r="S370" s="66" t="s">
        <v>0</v>
      </c>
      <c r="T370" s="1">
        <v>30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2">
        <f t="shared" si="87"/>
        <v>30</v>
      </c>
      <c r="AB370" s="61">
        <v>2018</v>
      </c>
      <c r="AC370" s="9"/>
      <c r="AD370" s="104"/>
      <c r="AE370" s="104"/>
    </row>
    <row r="371" spans="1:31" ht="15.6" hidden="1" customHeight="1" x14ac:dyDescent="0.25">
      <c r="A371" s="57" t="s">
        <v>18</v>
      </c>
      <c r="B371" s="57" t="s">
        <v>18</v>
      </c>
      <c r="C371" s="57" t="s">
        <v>21</v>
      </c>
      <c r="D371" s="57" t="s">
        <v>18</v>
      </c>
      <c r="E371" s="57" t="s">
        <v>21</v>
      </c>
      <c r="F371" s="57" t="s">
        <v>18</v>
      </c>
      <c r="G371" s="57" t="s">
        <v>22</v>
      </c>
      <c r="H371" s="57" t="s">
        <v>19</v>
      </c>
      <c r="I371" s="57" t="s">
        <v>24</v>
      </c>
      <c r="J371" s="57" t="s">
        <v>18</v>
      </c>
      <c r="K371" s="57" t="s">
        <v>18</v>
      </c>
      <c r="L371" s="57" t="s">
        <v>20</v>
      </c>
      <c r="M371" s="57" t="s">
        <v>37</v>
      </c>
      <c r="N371" s="57" t="s">
        <v>18</v>
      </c>
      <c r="O371" s="57" t="s">
        <v>24</v>
      </c>
      <c r="P371" s="57" t="s">
        <v>22</v>
      </c>
      <c r="Q371" s="57" t="s">
        <v>46</v>
      </c>
      <c r="R371" s="149"/>
      <c r="S371" s="66" t="s">
        <v>0</v>
      </c>
      <c r="T371" s="1">
        <v>205.6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2">
        <f t="shared" si="87"/>
        <v>205.6</v>
      </c>
      <c r="AB371" s="61">
        <v>2018</v>
      </c>
      <c r="AC371" s="9"/>
      <c r="AD371" s="104"/>
      <c r="AE371" s="104"/>
    </row>
    <row r="372" spans="1:31" ht="15.6" hidden="1" customHeight="1" x14ac:dyDescent="0.25">
      <c r="A372" s="57" t="s">
        <v>18</v>
      </c>
      <c r="B372" s="57" t="s">
        <v>18</v>
      </c>
      <c r="C372" s="57" t="s">
        <v>21</v>
      </c>
      <c r="D372" s="57" t="s">
        <v>18</v>
      </c>
      <c r="E372" s="57" t="s">
        <v>21</v>
      </c>
      <c r="F372" s="57" t="s">
        <v>18</v>
      </c>
      <c r="G372" s="57" t="s">
        <v>22</v>
      </c>
      <c r="H372" s="57" t="s">
        <v>19</v>
      </c>
      <c r="I372" s="57" t="s">
        <v>24</v>
      </c>
      <c r="J372" s="57" t="s">
        <v>18</v>
      </c>
      <c r="K372" s="57" t="s">
        <v>18</v>
      </c>
      <c r="L372" s="57" t="s">
        <v>20</v>
      </c>
      <c r="M372" s="57" t="s">
        <v>37</v>
      </c>
      <c r="N372" s="57" t="s">
        <v>18</v>
      </c>
      <c r="O372" s="57" t="s">
        <v>24</v>
      </c>
      <c r="P372" s="57" t="s">
        <v>22</v>
      </c>
      <c r="Q372" s="57" t="s">
        <v>39</v>
      </c>
      <c r="R372" s="149"/>
      <c r="S372" s="66" t="s">
        <v>0</v>
      </c>
      <c r="T372" s="1">
        <v>352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2">
        <f t="shared" si="87"/>
        <v>352</v>
      </c>
      <c r="AB372" s="61">
        <v>2018</v>
      </c>
      <c r="AC372" s="9"/>
      <c r="AD372" s="104"/>
      <c r="AE372" s="104"/>
    </row>
    <row r="373" spans="1:31" ht="31.15" hidden="1" customHeight="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83" t="s">
        <v>238</v>
      </c>
      <c r="S373" s="87" t="s">
        <v>181</v>
      </c>
      <c r="T373" s="3">
        <v>356.5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6">
        <f t="shared" si="87"/>
        <v>356.5</v>
      </c>
      <c r="AB373" s="41">
        <v>2018</v>
      </c>
      <c r="AC373" s="9"/>
      <c r="AD373" s="104"/>
      <c r="AE373" s="104"/>
    </row>
    <row r="374" spans="1:31" ht="15.6" hidden="1" customHeight="1" x14ac:dyDescent="0.25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149" t="s">
        <v>239</v>
      </c>
      <c r="S374" s="66" t="s">
        <v>0</v>
      </c>
      <c r="T374" s="1">
        <f>SUM(T375:T378)</f>
        <v>695.4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2">
        <f t="shared" si="87"/>
        <v>695.4</v>
      </c>
      <c r="AB374" s="61">
        <v>2018</v>
      </c>
      <c r="AC374" s="9"/>
      <c r="AD374" s="104"/>
      <c r="AE374" s="104"/>
    </row>
    <row r="375" spans="1:31" ht="15.6" hidden="1" customHeight="1" x14ac:dyDescent="0.25">
      <c r="A375" s="57" t="s">
        <v>18</v>
      </c>
      <c r="B375" s="57" t="s">
        <v>18</v>
      </c>
      <c r="C375" s="57" t="s">
        <v>21</v>
      </c>
      <c r="D375" s="57" t="s">
        <v>18</v>
      </c>
      <c r="E375" s="57" t="s">
        <v>21</v>
      </c>
      <c r="F375" s="57" t="s">
        <v>18</v>
      </c>
      <c r="G375" s="57" t="s">
        <v>22</v>
      </c>
      <c r="H375" s="57" t="s">
        <v>19</v>
      </c>
      <c r="I375" s="57" t="s">
        <v>24</v>
      </c>
      <c r="J375" s="57" t="s">
        <v>18</v>
      </c>
      <c r="K375" s="57" t="s">
        <v>18</v>
      </c>
      <c r="L375" s="57" t="s">
        <v>20</v>
      </c>
      <c r="M375" s="57" t="s">
        <v>19</v>
      </c>
      <c r="N375" s="57" t="s">
        <v>18</v>
      </c>
      <c r="O375" s="57" t="s">
        <v>24</v>
      </c>
      <c r="P375" s="57" t="s">
        <v>22</v>
      </c>
      <c r="Q375" s="57" t="s">
        <v>45</v>
      </c>
      <c r="R375" s="149"/>
      <c r="S375" s="66" t="s">
        <v>0</v>
      </c>
      <c r="T375" s="1">
        <v>278.2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62">
        <f t="shared" si="87"/>
        <v>278.2</v>
      </c>
      <c r="AB375" s="61">
        <v>2018</v>
      </c>
      <c r="AC375" s="9"/>
      <c r="AD375" s="104"/>
      <c r="AE375" s="104"/>
    </row>
    <row r="376" spans="1:31" ht="15.6" hidden="1" customHeight="1" x14ac:dyDescent="0.25">
      <c r="A376" s="57" t="s">
        <v>18</v>
      </c>
      <c r="B376" s="57" t="s">
        <v>18</v>
      </c>
      <c r="C376" s="57" t="s">
        <v>21</v>
      </c>
      <c r="D376" s="57" t="s">
        <v>18</v>
      </c>
      <c r="E376" s="57" t="s">
        <v>21</v>
      </c>
      <c r="F376" s="57" t="s">
        <v>18</v>
      </c>
      <c r="G376" s="57" t="s">
        <v>22</v>
      </c>
      <c r="H376" s="57" t="s">
        <v>19</v>
      </c>
      <c r="I376" s="57" t="s">
        <v>24</v>
      </c>
      <c r="J376" s="57" t="s">
        <v>18</v>
      </c>
      <c r="K376" s="57" t="s">
        <v>18</v>
      </c>
      <c r="L376" s="57" t="s">
        <v>20</v>
      </c>
      <c r="M376" s="57" t="s">
        <v>37</v>
      </c>
      <c r="N376" s="57" t="s">
        <v>18</v>
      </c>
      <c r="O376" s="57" t="s">
        <v>43</v>
      </c>
      <c r="P376" s="57" t="s">
        <v>22</v>
      </c>
      <c r="Q376" s="57" t="s">
        <v>184</v>
      </c>
      <c r="R376" s="149"/>
      <c r="S376" s="66" t="s">
        <v>0</v>
      </c>
      <c r="T376" s="1">
        <v>20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2">
        <f t="shared" si="87"/>
        <v>20</v>
      </c>
      <c r="AB376" s="61">
        <v>2018</v>
      </c>
      <c r="AC376" s="9"/>
      <c r="AD376" s="104"/>
      <c r="AE376" s="104"/>
    </row>
    <row r="377" spans="1:31" ht="15.6" hidden="1" customHeight="1" x14ac:dyDescent="0.25">
      <c r="A377" s="57" t="s">
        <v>18</v>
      </c>
      <c r="B377" s="57" t="s">
        <v>18</v>
      </c>
      <c r="C377" s="57" t="s">
        <v>21</v>
      </c>
      <c r="D377" s="57" t="s">
        <v>18</v>
      </c>
      <c r="E377" s="57" t="s">
        <v>21</v>
      </c>
      <c r="F377" s="57" t="s">
        <v>18</v>
      </c>
      <c r="G377" s="57" t="s">
        <v>22</v>
      </c>
      <c r="H377" s="57" t="s">
        <v>19</v>
      </c>
      <c r="I377" s="57" t="s">
        <v>24</v>
      </c>
      <c r="J377" s="57" t="s">
        <v>18</v>
      </c>
      <c r="K377" s="57" t="s">
        <v>18</v>
      </c>
      <c r="L377" s="57" t="s">
        <v>20</v>
      </c>
      <c r="M377" s="57" t="s">
        <v>37</v>
      </c>
      <c r="N377" s="57" t="s">
        <v>18</v>
      </c>
      <c r="O377" s="57" t="s">
        <v>24</v>
      </c>
      <c r="P377" s="57" t="s">
        <v>22</v>
      </c>
      <c r="Q377" s="57" t="s">
        <v>46</v>
      </c>
      <c r="R377" s="149"/>
      <c r="S377" s="66" t="s">
        <v>0</v>
      </c>
      <c r="T377" s="1">
        <v>104.3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2">
        <f t="shared" si="87"/>
        <v>104.3</v>
      </c>
      <c r="AB377" s="61">
        <v>2018</v>
      </c>
      <c r="AC377" s="9"/>
      <c r="AD377" s="104"/>
      <c r="AE377" s="104"/>
    </row>
    <row r="378" spans="1:31" ht="15.6" hidden="1" customHeight="1" x14ac:dyDescent="0.25">
      <c r="A378" s="57" t="s">
        <v>18</v>
      </c>
      <c r="B378" s="57" t="s">
        <v>18</v>
      </c>
      <c r="C378" s="57" t="s">
        <v>21</v>
      </c>
      <c r="D378" s="57" t="s">
        <v>18</v>
      </c>
      <c r="E378" s="57" t="s">
        <v>21</v>
      </c>
      <c r="F378" s="57" t="s">
        <v>18</v>
      </c>
      <c r="G378" s="57" t="s">
        <v>22</v>
      </c>
      <c r="H378" s="57" t="s">
        <v>19</v>
      </c>
      <c r="I378" s="57" t="s">
        <v>24</v>
      </c>
      <c r="J378" s="57" t="s">
        <v>18</v>
      </c>
      <c r="K378" s="57" t="s">
        <v>18</v>
      </c>
      <c r="L378" s="57" t="s">
        <v>20</v>
      </c>
      <c r="M378" s="57" t="s">
        <v>37</v>
      </c>
      <c r="N378" s="57" t="s">
        <v>18</v>
      </c>
      <c r="O378" s="57" t="s">
        <v>24</v>
      </c>
      <c r="P378" s="57" t="s">
        <v>22</v>
      </c>
      <c r="Q378" s="57" t="s">
        <v>39</v>
      </c>
      <c r="R378" s="149"/>
      <c r="S378" s="66" t="s">
        <v>0</v>
      </c>
      <c r="T378" s="1">
        <v>292.89999999999998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2">
        <f t="shared" si="87"/>
        <v>292.89999999999998</v>
      </c>
      <c r="AB378" s="61">
        <v>2018</v>
      </c>
      <c r="AC378" s="9"/>
      <c r="AD378" s="104"/>
      <c r="AE378" s="104"/>
    </row>
    <row r="379" spans="1:31" ht="31.15" hidden="1" customHeight="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81" t="s">
        <v>240</v>
      </c>
      <c r="S379" s="92" t="s">
        <v>186</v>
      </c>
      <c r="T379" s="3">
        <v>190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6">
        <f t="shared" si="87"/>
        <v>190</v>
      </c>
      <c r="AB379" s="41">
        <v>2018</v>
      </c>
      <c r="AC379" s="9"/>
      <c r="AD379" s="104"/>
      <c r="AE379" s="104"/>
    </row>
    <row r="380" spans="1:31" ht="15.6" hidden="1" customHeight="1" x14ac:dyDescent="0.25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149" t="s">
        <v>241</v>
      </c>
      <c r="S380" s="66" t="s">
        <v>0</v>
      </c>
      <c r="T380" s="1">
        <f>SUM(T381:T385)</f>
        <v>836.4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2">
        <f t="shared" si="87"/>
        <v>836.4</v>
      </c>
      <c r="AB380" s="61">
        <v>2018</v>
      </c>
      <c r="AC380" s="9"/>
      <c r="AD380" s="104"/>
      <c r="AE380" s="104"/>
    </row>
    <row r="381" spans="1:31" ht="15.6" hidden="1" customHeight="1" x14ac:dyDescent="0.25">
      <c r="A381" s="57" t="s">
        <v>18</v>
      </c>
      <c r="B381" s="57" t="s">
        <v>18</v>
      </c>
      <c r="C381" s="57" t="s">
        <v>21</v>
      </c>
      <c r="D381" s="57" t="s">
        <v>18</v>
      </c>
      <c r="E381" s="57" t="s">
        <v>21</v>
      </c>
      <c r="F381" s="57" t="s">
        <v>18</v>
      </c>
      <c r="G381" s="57" t="s">
        <v>22</v>
      </c>
      <c r="H381" s="57" t="s">
        <v>19</v>
      </c>
      <c r="I381" s="57" t="s">
        <v>24</v>
      </c>
      <c r="J381" s="57" t="s">
        <v>18</v>
      </c>
      <c r="K381" s="57" t="s">
        <v>18</v>
      </c>
      <c r="L381" s="57" t="s">
        <v>20</v>
      </c>
      <c r="M381" s="57" t="s">
        <v>19</v>
      </c>
      <c r="N381" s="57" t="s">
        <v>18</v>
      </c>
      <c r="O381" s="57" t="s">
        <v>24</v>
      </c>
      <c r="P381" s="57" t="s">
        <v>22</v>
      </c>
      <c r="Q381" s="57" t="s">
        <v>45</v>
      </c>
      <c r="R381" s="149"/>
      <c r="S381" s="66" t="s">
        <v>0</v>
      </c>
      <c r="T381" s="1">
        <v>334.5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2">
        <f t="shared" si="87"/>
        <v>334.5</v>
      </c>
      <c r="AB381" s="61">
        <v>2018</v>
      </c>
      <c r="AC381" s="9"/>
      <c r="AD381" s="104"/>
      <c r="AE381" s="104"/>
    </row>
    <row r="382" spans="1:31" ht="15.6" hidden="1" customHeight="1" x14ac:dyDescent="0.25">
      <c r="A382" s="57" t="s">
        <v>18</v>
      </c>
      <c r="B382" s="57" t="s">
        <v>18</v>
      </c>
      <c r="C382" s="57" t="s">
        <v>21</v>
      </c>
      <c r="D382" s="57" t="s">
        <v>18</v>
      </c>
      <c r="E382" s="57" t="s">
        <v>21</v>
      </c>
      <c r="F382" s="57" t="s">
        <v>18</v>
      </c>
      <c r="G382" s="57" t="s">
        <v>22</v>
      </c>
      <c r="H382" s="57" t="s">
        <v>19</v>
      </c>
      <c r="I382" s="57" t="s">
        <v>24</v>
      </c>
      <c r="J382" s="57" t="s">
        <v>18</v>
      </c>
      <c r="K382" s="57" t="s">
        <v>18</v>
      </c>
      <c r="L382" s="57" t="s">
        <v>20</v>
      </c>
      <c r="M382" s="57" t="s">
        <v>19</v>
      </c>
      <c r="N382" s="57" t="s">
        <v>18</v>
      </c>
      <c r="O382" s="57" t="s">
        <v>43</v>
      </c>
      <c r="P382" s="57" t="s">
        <v>22</v>
      </c>
      <c r="Q382" s="57" t="s">
        <v>184</v>
      </c>
      <c r="R382" s="149"/>
      <c r="S382" s="66" t="s">
        <v>0</v>
      </c>
      <c r="T382" s="1">
        <v>30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62">
        <f>SUM(T382:Y382)</f>
        <v>30</v>
      </c>
      <c r="AB382" s="61">
        <v>2018</v>
      </c>
      <c r="AC382" s="9"/>
      <c r="AD382" s="104"/>
      <c r="AE382" s="104"/>
    </row>
    <row r="383" spans="1:31" ht="15.6" hidden="1" customHeight="1" x14ac:dyDescent="0.25">
      <c r="A383" s="57" t="s">
        <v>18</v>
      </c>
      <c r="B383" s="57" t="s">
        <v>18</v>
      </c>
      <c r="C383" s="57" t="s">
        <v>21</v>
      </c>
      <c r="D383" s="57" t="s">
        <v>18</v>
      </c>
      <c r="E383" s="57" t="s">
        <v>21</v>
      </c>
      <c r="F383" s="57" t="s">
        <v>18</v>
      </c>
      <c r="G383" s="57" t="s">
        <v>22</v>
      </c>
      <c r="H383" s="57" t="s">
        <v>19</v>
      </c>
      <c r="I383" s="57" t="s">
        <v>24</v>
      </c>
      <c r="J383" s="57" t="s">
        <v>18</v>
      </c>
      <c r="K383" s="57" t="s">
        <v>18</v>
      </c>
      <c r="L383" s="57" t="s">
        <v>20</v>
      </c>
      <c r="M383" s="57" t="s">
        <v>37</v>
      </c>
      <c r="N383" s="57" t="s">
        <v>18</v>
      </c>
      <c r="O383" s="57" t="s">
        <v>24</v>
      </c>
      <c r="P383" s="57" t="s">
        <v>22</v>
      </c>
      <c r="Q383" s="57" t="s">
        <v>46</v>
      </c>
      <c r="R383" s="149"/>
      <c r="S383" s="66" t="s">
        <v>0</v>
      </c>
      <c r="T383" s="1">
        <v>16.399999999999999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62">
        <f t="shared" si="87"/>
        <v>16.399999999999999</v>
      </c>
      <c r="AB383" s="61">
        <v>2018</v>
      </c>
      <c r="AC383" s="9"/>
      <c r="AD383" s="104"/>
      <c r="AE383" s="104"/>
    </row>
    <row r="384" spans="1:31" ht="15.6" hidden="1" customHeight="1" x14ac:dyDescent="0.25">
      <c r="A384" s="57" t="s">
        <v>18</v>
      </c>
      <c r="B384" s="57" t="s">
        <v>18</v>
      </c>
      <c r="C384" s="57" t="s">
        <v>21</v>
      </c>
      <c r="D384" s="57" t="s">
        <v>18</v>
      </c>
      <c r="E384" s="57" t="s">
        <v>21</v>
      </c>
      <c r="F384" s="57" t="s">
        <v>18</v>
      </c>
      <c r="G384" s="57" t="s">
        <v>22</v>
      </c>
      <c r="H384" s="57" t="s">
        <v>19</v>
      </c>
      <c r="I384" s="57" t="s">
        <v>24</v>
      </c>
      <c r="J384" s="57" t="s">
        <v>18</v>
      </c>
      <c r="K384" s="57" t="s">
        <v>18</v>
      </c>
      <c r="L384" s="57" t="s">
        <v>20</v>
      </c>
      <c r="M384" s="57" t="s">
        <v>37</v>
      </c>
      <c r="N384" s="57" t="s">
        <v>18</v>
      </c>
      <c r="O384" s="57" t="s">
        <v>24</v>
      </c>
      <c r="P384" s="57" t="s">
        <v>22</v>
      </c>
      <c r="Q384" s="57" t="s">
        <v>46</v>
      </c>
      <c r="R384" s="149"/>
      <c r="S384" s="66" t="s">
        <v>0</v>
      </c>
      <c r="T384" s="1">
        <v>125.5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2">
        <f t="shared" si="87"/>
        <v>125.5</v>
      </c>
      <c r="AB384" s="61">
        <v>2018</v>
      </c>
      <c r="AC384" s="9"/>
      <c r="AD384" s="104"/>
      <c r="AE384" s="104"/>
    </row>
    <row r="385" spans="1:31" ht="15.6" hidden="1" customHeight="1" x14ac:dyDescent="0.25">
      <c r="A385" s="57" t="s">
        <v>18</v>
      </c>
      <c r="B385" s="57" t="s">
        <v>18</v>
      </c>
      <c r="C385" s="57" t="s">
        <v>21</v>
      </c>
      <c r="D385" s="57" t="s">
        <v>18</v>
      </c>
      <c r="E385" s="57" t="s">
        <v>21</v>
      </c>
      <c r="F385" s="57" t="s">
        <v>18</v>
      </c>
      <c r="G385" s="57" t="s">
        <v>22</v>
      </c>
      <c r="H385" s="57" t="s">
        <v>19</v>
      </c>
      <c r="I385" s="57" t="s">
        <v>24</v>
      </c>
      <c r="J385" s="57" t="s">
        <v>18</v>
      </c>
      <c r="K385" s="57" t="s">
        <v>18</v>
      </c>
      <c r="L385" s="57" t="s">
        <v>20</v>
      </c>
      <c r="M385" s="57" t="s">
        <v>37</v>
      </c>
      <c r="N385" s="57" t="s">
        <v>18</v>
      </c>
      <c r="O385" s="57" t="s">
        <v>24</v>
      </c>
      <c r="P385" s="57" t="s">
        <v>22</v>
      </c>
      <c r="Q385" s="57" t="s">
        <v>39</v>
      </c>
      <c r="R385" s="149"/>
      <c r="S385" s="66" t="s">
        <v>0</v>
      </c>
      <c r="T385" s="1">
        <v>330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2">
        <f t="shared" si="87"/>
        <v>330</v>
      </c>
      <c r="AB385" s="61">
        <v>2018</v>
      </c>
      <c r="AC385" s="9"/>
      <c r="AD385" s="104"/>
      <c r="AE385" s="104"/>
    </row>
    <row r="386" spans="1:31" ht="27.6" hidden="1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91" t="s">
        <v>242</v>
      </c>
      <c r="S386" s="87" t="s">
        <v>8</v>
      </c>
      <c r="T386" s="44">
        <v>1</v>
      </c>
      <c r="U386" s="44">
        <v>0</v>
      </c>
      <c r="V386" s="44">
        <v>0</v>
      </c>
      <c r="W386" s="44">
        <v>0</v>
      </c>
      <c r="X386" s="44">
        <v>0</v>
      </c>
      <c r="Y386" s="44">
        <v>0</v>
      </c>
      <c r="Z386" s="44">
        <v>0</v>
      </c>
      <c r="AA386" s="6">
        <f t="shared" si="87"/>
        <v>1</v>
      </c>
      <c r="AB386" s="41">
        <v>2018</v>
      </c>
      <c r="AC386" s="9"/>
      <c r="AD386" s="104"/>
      <c r="AE386" s="104"/>
    </row>
    <row r="387" spans="1:31" ht="15.6" customHeight="1" x14ac:dyDescent="0.25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149" t="s">
        <v>140</v>
      </c>
      <c r="S387" s="66" t="s">
        <v>0</v>
      </c>
      <c r="T387" s="62">
        <f>SUM(T388:T390)</f>
        <v>6913.9150000000009</v>
      </c>
      <c r="U387" s="62">
        <f>SUM(U388:U392)</f>
        <v>3765.5</v>
      </c>
      <c r="V387" s="62">
        <f>SUM(V388:V392)</f>
        <v>1936.6</v>
      </c>
      <c r="W387" s="62">
        <v>0</v>
      </c>
      <c r="X387" s="62">
        <v>0</v>
      </c>
      <c r="Y387" s="62">
        <v>0</v>
      </c>
      <c r="Z387" s="62">
        <v>0</v>
      </c>
      <c r="AA387" s="62">
        <f t="shared" ref="AA387:AA395" si="88">SUM(T387:Y387)</f>
        <v>12616.015000000001</v>
      </c>
      <c r="AB387" s="61">
        <v>2020</v>
      </c>
      <c r="AC387" s="128"/>
      <c r="AD387" s="104"/>
      <c r="AE387" s="104"/>
    </row>
    <row r="388" spans="1:31" x14ac:dyDescent="0.25">
      <c r="A388" s="57" t="s">
        <v>18</v>
      </c>
      <c r="B388" s="57" t="s">
        <v>18</v>
      </c>
      <c r="C388" s="57" t="s">
        <v>25</v>
      </c>
      <c r="D388" s="57" t="s">
        <v>18</v>
      </c>
      <c r="E388" s="57" t="s">
        <v>21</v>
      </c>
      <c r="F388" s="57" t="s">
        <v>18</v>
      </c>
      <c r="G388" s="57" t="s">
        <v>22</v>
      </c>
      <c r="H388" s="57" t="s">
        <v>19</v>
      </c>
      <c r="I388" s="57" t="s">
        <v>24</v>
      </c>
      <c r="J388" s="57" t="s">
        <v>18</v>
      </c>
      <c r="K388" s="57" t="s">
        <v>18</v>
      </c>
      <c r="L388" s="57" t="s">
        <v>20</v>
      </c>
      <c r="M388" s="57" t="s">
        <v>19</v>
      </c>
      <c r="N388" s="57" t="s">
        <v>18</v>
      </c>
      <c r="O388" s="57" t="s">
        <v>24</v>
      </c>
      <c r="P388" s="57" t="s">
        <v>22</v>
      </c>
      <c r="Q388" s="57" t="s">
        <v>45</v>
      </c>
      <c r="R388" s="149"/>
      <c r="S388" s="66" t="s">
        <v>0</v>
      </c>
      <c r="T388" s="1">
        <f>T397+T403+T409+T415+T421+T427+T432+T438+T444+T450+T456</f>
        <v>2886.915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62">
        <f t="shared" si="88"/>
        <v>2886.915</v>
      </c>
      <c r="AB388" s="61">
        <v>2018</v>
      </c>
      <c r="AC388" s="128"/>
      <c r="AD388" s="104"/>
      <c r="AE388" s="104"/>
    </row>
    <row r="389" spans="1:31" x14ac:dyDescent="0.25">
      <c r="A389" s="57" t="s">
        <v>18</v>
      </c>
      <c r="B389" s="57" t="s">
        <v>18</v>
      </c>
      <c r="C389" s="57" t="s">
        <v>25</v>
      </c>
      <c r="D389" s="57" t="s">
        <v>18</v>
      </c>
      <c r="E389" s="57" t="s">
        <v>21</v>
      </c>
      <c r="F389" s="57" t="s">
        <v>18</v>
      </c>
      <c r="G389" s="57" t="s">
        <v>22</v>
      </c>
      <c r="H389" s="57" t="s">
        <v>19</v>
      </c>
      <c r="I389" s="57" t="s">
        <v>24</v>
      </c>
      <c r="J389" s="57" t="s">
        <v>18</v>
      </c>
      <c r="K389" s="57" t="s">
        <v>18</v>
      </c>
      <c r="L389" s="57" t="s">
        <v>20</v>
      </c>
      <c r="M389" s="57" t="s">
        <v>37</v>
      </c>
      <c r="N389" s="57" t="s">
        <v>18</v>
      </c>
      <c r="O389" s="57" t="s">
        <v>24</v>
      </c>
      <c r="P389" s="57" t="s">
        <v>22</v>
      </c>
      <c r="Q389" s="57" t="s">
        <v>46</v>
      </c>
      <c r="R389" s="149"/>
      <c r="S389" s="66" t="s">
        <v>0</v>
      </c>
      <c r="T389" s="1">
        <f>T398+T399+T404+T405+T410+T411+T416+T417+T422+T423+T428+T433+T434+T439+T440+T445+T446+T451+T452+T457+T458</f>
        <v>1641.4</v>
      </c>
      <c r="U389" s="1">
        <v>868</v>
      </c>
      <c r="V389" s="1">
        <v>501.9</v>
      </c>
      <c r="W389" s="1">
        <v>0</v>
      </c>
      <c r="X389" s="1">
        <v>0</v>
      </c>
      <c r="Y389" s="1">
        <v>0</v>
      </c>
      <c r="Z389" s="1">
        <v>0</v>
      </c>
      <c r="AA389" s="62">
        <f t="shared" si="88"/>
        <v>3011.3</v>
      </c>
      <c r="AB389" s="61">
        <v>2020</v>
      </c>
      <c r="AC389" s="128"/>
      <c r="AD389" s="104"/>
      <c r="AE389" s="104"/>
    </row>
    <row r="390" spans="1:31" x14ac:dyDescent="0.25">
      <c r="A390" s="57" t="s">
        <v>18</v>
      </c>
      <c r="B390" s="57" t="s">
        <v>18</v>
      </c>
      <c r="C390" s="57" t="s">
        <v>25</v>
      </c>
      <c r="D390" s="57" t="s">
        <v>18</v>
      </c>
      <c r="E390" s="57" t="s">
        <v>21</v>
      </c>
      <c r="F390" s="57" t="s">
        <v>18</v>
      </c>
      <c r="G390" s="57" t="s">
        <v>22</v>
      </c>
      <c r="H390" s="57" t="s">
        <v>19</v>
      </c>
      <c r="I390" s="57" t="s">
        <v>24</v>
      </c>
      <c r="J390" s="57" t="s">
        <v>18</v>
      </c>
      <c r="K390" s="57" t="s">
        <v>18</v>
      </c>
      <c r="L390" s="57" t="s">
        <v>20</v>
      </c>
      <c r="M390" s="57" t="s">
        <v>37</v>
      </c>
      <c r="N390" s="57" t="s">
        <v>18</v>
      </c>
      <c r="O390" s="57" t="s">
        <v>24</v>
      </c>
      <c r="P390" s="57" t="s">
        <v>22</v>
      </c>
      <c r="Q390" s="57" t="s">
        <v>39</v>
      </c>
      <c r="R390" s="149"/>
      <c r="S390" s="66" t="s">
        <v>0</v>
      </c>
      <c r="T390" s="1">
        <v>2385.6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62">
        <f t="shared" si="88"/>
        <v>2385.6</v>
      </c>
      <c r="AB390" s="61">
        <v>2018</v>
      </c>
      <c r="AC390" s="128"/>
      <c r="AD390" s="104"/>
      <c r="AE390" s="104"/>
    </row>
    <row r="391" spans="1:31" x14ac:dyDescent="0.25">
      <c r="A391" s="57" t="s">
        <v>18</v>
      </c>
      <c r="B391" s="57" t="s">
        <v>18</v>
      </c>
      <c r="C391" s="57" t="s">
        <v>25</v>
      </c>
      <c r="D391" s="57" t="s">
        <v>18</v>
      </c>
      <c r="E391" s="57" t="s">
        <v>18</v>
      </c>
      <c r="F391" s="57" t="s">
        <v>18</v>
      </c>
      <c r="G391" s="57" t="s">
        <v>18</v>
      </c>
      <c r="H391" s="57" t="s">
        <v>19</v>
      </c>
      <c r="I391" s="57" t="s">
        <v>24</v>
      </c>
      <c r="J391" s="57" t="s">
        <v>18</v>
      </c>
      <c r="K391" s="57" t="s">
        <v>18</v>
      </c>
      <c r="L391" s="57" t="s">
        <v>20</v>
      </c>
      <c r="M391" s="57" t="s">
        <v>19</v>
      </c>
      <c r="N391" s="57" t="s">
        <v>18</v>
      </c>
      <c r="O391" s="57" t="s">
        <v>24</v>
      </c>
      <c r="P391" s="57" t="s">
        <v>22</v>
      </c>
      <c r="Q391" s="57" t="s">
        <v>18</v>
      </c>
      <c r="R391" s="149"/>
      <c r="S391" s="66" t="s">
        <v>0</v>
      </c>
      <c r="T391" s="1">
        <v>0</v>
      </c>
      <c r="U391" s="1">
        <f>1977-1.3</f>
        <v>1975.7</v>
      </c>
      <c r="V391" s="1">
        <v>968.2</v>
      </c>
      <c r="W391" s="1">
        <v>0</v>
      </c>
      <c r="X391" s="1">
        <v>0</v>
      </c>
      <c r="Y391" s="1">
        <v>0</v>
      </c>
      <c r="Z391" s="1">
        <v>0</v>
      </c>
      <c r="AA391" s="62">
        <f t="shared" si="88"/>
        <v>2943.9</v>
      </c>
      <c r="AB391" s="61">
        <v>2020</v>
      </c>
      <c r="AC391" s="128"/>
      <c r="AD391" s="104"/>
      <c r="AE391" s="104"/>
    </row>
    <row r="392" spans="1:31" x14ac:dyDescent="0.25">
      <c r="A392" s="57" t="s">
        <v>18</v>
      </c>
      <c r="B392" s="57" t="s">
        <v>18</v>
      </c>
      <c r="C392" s="57" t="s">
        <v>25</v>
      </c>
      <c r="D392" s="57" t="s">
        <v>18</v>
      </c>
      <c r="E392" s="57" t="s">
        <v>18</v>
      </c>
      <c r="F392" s="57" t="s">
        <v>18</v>
      </c>
      <c r="G392" s="57" t="s">
        <v>18</v>
      </c>
      <c r="H392" s="57" t="s">
        <v>19</v>
      </c>
      <c r="I392" s="57" t="s">
        <v>24</v>
      </c>
      <c r="J392" s="57" t="s">
        <v>18</v>
      </c>
      <c r="K392" s="57" t="s">
        <v>18</v>
      </c>
      <c r="L392" s="57" t="s">
        <v>20</v>
      </c>
      <c r="M392" s="57" t="s">
        <v>37</v>
      </c>
      <c r="N392" s="57" t="s">
        <v>18</v>
      </c>
      <c r="O392" s="57" t="s">
        <v>24</v>
      </c>
      <c r="P392" s="57" t="s">
        <v>22</v>
      </c>
      <c r="Q392" s="57" t="s">
        <v>18</v>
      </c>
      <c r="R392" s="149"/>
      <c r="S392" s="66" t="s">
        <v>0</v>
      </c>
      <c r="T392" s="1">
        <v>0</v>
      </c>
      <c r="U392" s="1">
        <f>1119.1-197.3</f>
        <v>921.8</v>
      </c>
      <c r="V392" s="1">
        <v>466.5</v>
      </c>
      <c r="W392" s="1">
        <v>0</v>
      </c>
      <c r="X392" s="1">
        <v>0</v>
      </c>
      <c r="Y392" s="1">
        <v>0</v>
      </c>
      <c r="Z392" s="1">
        <v>0</v>
      </c>
      <c r="AA392" s="62">
        <f t="shared" ref="AA392" si="89">SUM(T392:Y392)</f>
        <v>1388.3</v>
      </c>
      <c r="AB392" s="61">
        <v>2020</v>
      </c>
      <c r="AC392" s="128"/>
      <c r="AD392" s="104"/>
      <c r="AE392" s="104"/>
    </row>
    <row r="393" spans="1:31" ht="47.25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83" t="s">
        <v>324</v>
      </c>
      <c r="S393" s="65" t="s">
        <v>52</v>
      </c>
      <c r="T393" s="3">
        <v>1.5</v>
      </c>
      <c r="U393" s="3">
        <v>0.8</v>
      </c>
      <c r="V393" s="3">
        <v>0.6</v>
      </c>
      <c r="W393" s="3">
        <v>0</v>
      </c>
      <c r="X393" s="3">
        <v>0</v>
      </c>
      <c r="Y393" s="3">
        <v>0</v>
      </c>
      <c r="Z393" s="3">
        <v>0</v>
      </c>
      <c r="AA393" s="6">
        <f t="shared" si="88"/>
        <v>2.9</v>
      </c>
      <c r="AB393" s="41">
        <v>2020</v>
      </c>
      <c r="AC393" s="132"/>
      <c r="AD393" s="104"/>
      <c r="AE393" s="104"/>
    </row>
    <row r="394" spans="1:31" ht="46.9" hidden="1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83" t="s">
        <v>188</v>
      </c>
      <c r="S394" s="87" t="s">
        <v>187</v>
      </c>
      <c r="T394" s="3"/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6">
        <f t="shared" si="88"/>
        <v>0</v>
      </c>
      <c r="AB394" s="41">
        <v>2018</v>
      </c>
      <c r="AC394" s="132"/>
      <c r="AD394" s="104"/>
      <c r="AE394" s="104"/>
    </row>
    <row r="395" spans="1:31" ht="47.25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83" t="s">
        <v>325</v>
      </c>
      <c r="S395" s="87" t="s">
        <v>50</v>
      </c>
      <c r="T395" s="44">
        <v>10</v>
      </c>
      <c r="U395" s="44">
        <v>5</v>
      </c>
      <c r="V395" s="44">
        <v>2</v>
      </c>
      <c r="W395" s="44">
        <v>0</v>
      </c>
      <c r="X395" s="44">
        <v>0</v>
      </c>
      <c r="Y395" s="44">
        <v>0</v>
      </c>
      <c r="Z395" s="44">
        <v>0</v>
      </c>
      <c r="AA395" s="52">
        <f t="shared" si="88"/>
        <v>17</v>
      </c>
      <c r="AB395" s="41">
        <v>2020</v>
      </c>
      <c r="AC395" s="132"/>
      <c r="AD395" s="104"/>
      <c r="AE395" s="104"/>
    </row>
    <row r="396" spans="1:31" ht="15.6" hidden="1" customHeight="1" x14ac:dyDescent="0.25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149" t="s">
        <v>245</v>
      </c>
      <c r="S396" s="66" t="s">
        <v>0</v>
      </c>
      <c r="T396" s="1">
        <f>SUM(T397:T400)</f>
        <v>721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2">
        <f t="shared" ref="AA396:AA459" si="90">SUM(T396:Y396)</f>
        <v>721</v>
      </c>
      <c r="AB396" s="61">
        <v>2018</v>
      </c>
      <c r="AC396" s="9"/>
      <c r="AD396" s="104"/>
      <c r="AE396" s="104"/>
    </row>
    <row r="397" spans="1:31" ht="15.6" hidden="1" customHeight="1" x14ac:dyDescent="0.25">
      <c r="A397" s="57" t="s">
        <v>18</v>
      </c>
      <c r="B397" s="57" t="s">
        <v>18</v>
      </c>
      <c r="C397" s="57" t="s">
        <v>25</v>
      </c>
      <c r="D397" s="57" t="s">
        <v>18</v>
      </c>
      <c r="E397" s="57" t="s">
        <v>21</v>
      </c>
      <c r="F397" s="57" t="s">
        <v>18</v>
      </c>
      <c r="G397" s="57" t="s">
        <v>22</v>
      </c>
      <c r="H397" s="57" t="s">
        <v>19</v>
      </c>
      <c r="I397" s="57" t="s">
        <v>24</v>
      </c>
      <c r="J397" s="57" t="s">
        <v>18</v>
      </c>
      <c r="K397" s="57" t="s">
        <v>18</v>
      </c>
      <c r="L397" s="57" t="s">
        <v>20</v>
      </c>
      <c r="M397" s="57" t="s">
        <v>19</v>
      </c>
      <c r="N397" s="57" t="s">
        <v>18</v>
      </c>
      <c r="O397" s="57" t="s">
        <v>24</v>
      </c>
      <c r="P397" s="57" t="s">
        <v>22</v>
      </c>
      <c r="Q397" s="57" t="s">
        <v>45</v>
      </c>
      <c r="R397" s="149"/>
      <c r="S397" s="66" t="s">
        <v>0</v>
      </c>
      <c r="T397" s="1">
        <v>288.39999999999998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/>
      <c r="AA397" s="62">
        <f t="shared" si="90"/>
        <v>288.39999999999998</v>
      </c>
      <c r="AB397" s="61">
        <v>2018</v>
      </c>
      <c r="AC397" s="9"/>
      <c r="AD397" s="104"/>
      <c r="AE397" s="104"/>
    </row>
    <row r="398" spans="1:31" ht="15.6" hidden="1" customHeight="1" x14ac:dyDescent="0.25">
      <c r="A398" s="57" t="s">
        <v>18</v>
      </c>
      <c r="B398" s="57" t="s">
        <v>18</v>
      </c>
      <c r="C398" s="57" t="s">
        <v>25</v>
      </c>
      <c r="D398" s="57" t="s">
        <v>18</v>
      </c>
      <c r="E398" s="57" t="s">
        <v>21</v>
      </c>
      <c r="F398" s="57" t="s">
        <v>18</v>
      </c>
      <c r="G398" s="57" t="s">
        <v>22</v>
      </c>
      <c r="H398" s="57" t="s">
        <v>19</v>
      </c>
      <c r="I398" s="57" t="s">
        <v>24</v>
      </c>
      <c r="J398" s="57" t="s">
        <v>18</v>
      </c>
      <c r="K398" s="57" t="s">
        <v>18</v>
      </c>
      <c r="L398" s="57" t="s">
        <v>20</v>
      </c>
      <c r="M398" s="57" t="s">
        <v>37</v>
      </c>
      <c r="N398" s="57" t="s">
        <v>18</v>
      </c>
      <c r="O398" s="57" t="s">
        <v>24</v>
      </c>
      <c r="P398" s="57" t="s">
        <v>22</v>
      </c>
      <c r="Q398" s="57" t="s">
        <v>46</v>
      </c>
      <c r="R398" s="149"/>
      <c r="S398" s="66" t="s">
        <v>0</v>
      </c>
      <c r="T398" s="1">
        <v>6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2">
        <f t="shared" si="90"/>
        <v>6</v>
      </c>
      <c r="AB398" s="61">
        <v>2018</v>
      </c>
      <c r="AC398" s="9"/>
      <c r="AD398" s="104"/>
      <c r="AE398" s="104"/>
    </row>
    <row r="399" spans="1:31" ht="15.6" hidden="1" customHeight="1" x14ac:dyDescent="0.25">
      <c r="A399" s="57" t="s">
        <v>18</v>
      </c>
      <c r="B399" s="57" t="s">
        <v>18</v>
      </c>
      <c r="C399" s="57" t="s">
        <v>25</v>
      </c>
      <c r="D399" s="57" t="s">
        <v>18</v>
      </c>
      <c r="E399" s="57" t="s">
        <v>21</v>
      </c>
      <c r="F399" s="57" t="s">
        <v>18</v>
      </c>
      <c r="G399" s="57" t="s">
        <v>22</v>
      </c>
      <c r="H399" s="57" t="s">
        <v>19</v>
      </c>
      <c r="I399" s="57" t="s">
        <v>24</v>
      </c>
      <c r="J399" s="57" t="s">
        <v>18</v>
      </c>
      <c r="K399" s="57" t="s">
        <v>18</v>
      </c>
      <c r="L399" s="57" t="s">
        <v>20</v>
      </c>
      <c r="M399" s="57" t="s">
        <v>37</v>
      </c>
      <c r="N399" s="57" t="s">
        <v>18</v>
      </c>
      <c r="O399" s="57" t="s">
        <v>24</v>
      </c>
      <c r="P399" s="57" t="s">
        <v>22</v>
      </c>
      <c r="Q399" s="57" t="s">
        <v>46</v>
      </c>
      <c r="R399" s="149"/>
      <c r="S399" s="66" t="s">
        <v>0</v>
      </c>
      <c r="T399" s="1">
        <v>151.4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2">
        <f t="shared" si="90"/>
        <v>151.4</v>
      </c>
      <c r="AB399" s="61">
        <v>2018</v>
      </c>
      <c r="AC399" s="9"/>
      <c r="AD399" s="104"/>
      <c r="AE399" s="104"/>
    </row>
    <row r="400" spans="1:31" ht="15.6" hidden="1" customHeight="1" x14ac:dyDescent="0.25">
      <c r="A400" s="57" t="s">
        <v>18</v>
      </c>
      <c r="B400" s="57" t="s">
        <v>18</v>
      </c>
      <c r="C400" s="57" t="s">
        <v>25</v>
      </c>
      <c r="D400" s="57" t="s">
        <v>18</v>
      </c>
      <c r="E400" s="57" t="s">
        <v>21</v>
      </c>
      <c r="F400" s="57" t="s">
        <v>18</v>
      </c>
      <c r="G400" s="57" t="s">
        <v>22</v>
      </c>
      <c r="H400" s="57" t="s">
        <v>19</v>
      </c>
      <c r="I400" s="57" t="s">
        <v>24</v>
      </c>
      <c r="J400" s="57" t="s">
        <v>18</v>
      </c>
      <c r="K400" s="57" t="s">
        <v>18</v>
      </c>
      <c r="L400" s="57" t="s">
        <v>20</v>
      </c>
      <c r="M400" s="57" t="s">
        <v>37</v>
      </c>
      <c r="N400" s="57" t="s">
        <v>18</v>
      </c>
      <c r="O400" s="57" t="s">
        <v>24</v>
      </c>
      <c r="P400" s="57" t="s">
        <v>22</v>
      </c>
      <c r="Q400" s="57" t="s">
        <v>39</v>
      </c>
      <c r="R400" s="149"/>
      <c r="S400" s="66" t="s">
        <v>0</v>
      </c>
      <c r="T400" s="1">
        <v>275.2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2">
        <f t="shared" si="90"/>
        <v>275.2</v>
      </c>
      <c r="AB400" s="61">
        <v>2018</v>
      </c>
      <c r="AC400" s="9"/>
      <c r="AD400" s="104"/>
      <c r="AE400" s="104"/>
    </row>
    <row r="401" spans="1:31" ht="31.15" hidden="1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83" t="s">
        <v>246</v>
      </c>
      <c r="S401" s="87" t="s">
        <v>8</v>
      </c>
      <c r="T401" s="44">
        <v>1</v>
      </c>
      <c r="U401" s="44">
        <v>0</v>
      </c>
      <c r="V401" s="44">
        <v>0</v>
      </c>
      <c r="W401" s="44">
        <v>0</v>
      </c>
      <c r="X401" s="44">
        <v>0</v>
      </c>
      <c r="Y401" s="44">
        <v>0</v>
      </c>
      <c r="Z401" s="44"/>
      <c r="AA401" s="52">
        <f t="shared" si="90"/>
        <v>1</v>
      </c>
      <c r="AB401" s="41">
        <v>2018</v>
      </c>
      <c r="AC401" s="9"/>
      <c r="AD401" s="104"/>
      <c r="AE401" s="104"/>
    </row>
    <row r="402" spans="1:31" ht="15.6" hidden="1" customHeight="1" x14ac:dyDescent="0.25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149" t="s">
        <v>247</v>
      </c>
      <c r="S402" s="66" t="s">
        <v>0</v>
      </c>
      <c r="T402" s="1">
        <f>SUM(T403:T406)</f>
        <v>960.80000000000007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2">
        <f t="shared" si="90"/>
        <v>960.80000000000007</v>
      </c>
      <c r="AB402" s="61">
        <v>2018</v>
      </c>
      <c r="AC402" s="9"/>
      <c r="AD402" s="104"/>
      <c r="AE402" s="104"/>
    </row>
    <row r="403" spans="1:31" ht="15.6" hidden="1" customHeight="1" x14ac:dyDescent="0.25">
      <c r="A403" s="57" t="s">
        <v>18</v>
      </c>
      <c r="B403" s="57" t="s">
        <v>18</v>
      </c>
      <c r="C403" s="57" t="s">
        <v>25</v>
      </c>
      <c r="D403" s="57" t="s">
        <v>18</v>
      </c>
      <c r="E403" s="57" t="s">
        <v>21</v>
      </c>
      <c r="F403" s="57" t="s">
        <v>18</v>
      </c>
      <c r="G403" s="57" t="s">
        <v>22</v>
      </c>
      <c r="H403" s="57" t="s">
        <v>19</v>
      </c>
      <c r="I403" s="57" t="s">
        <v>24</v>
      </c>
      <c r="J403" s="57" t="s">
        <v>18</v>
      </c>
      <c r="K403" s="57" t="s">
        <v>18</v>
      </c>
      <c r="L403" s="57" t="s">
        <v>20</v>
      </c>
      <c r="M403" s="57" t="s">
        <v>19</v>
      </c>
      <c r="N403" s="57" t="s">
        <v>18</v>
      </c>
      <c r="O403" s="57" t="s">
        <v>24</v>
      </c>
      <c r="P403" s="57" t="s">
        <v>22</v>
      </c>
      <c r="Q403" s="57" t="s">
        <v>45</v>
      </c>
      <c r="R403" s="149"/>
      <c r="S403" s="66" t="s">
        <v>0</v>
      </c>
      <c r="T403" s="1">
        <v>384.3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/>
      <c r="AA403" s="62">
        <f t="shared" si="90"/>
        <v>384.3</v>
      </c>
      <c r="AB403" s="61">
        <v>2018</v>
      </c>
      <c r="AC403" s="9"/>
      <c r="AD403" s="104"/>
      <c r="AE403" s="104"/>
    </row>
    <row r="404" spans="1:31" ht="15.6" hidden="1" customHeight="1" x14ac:dyDescent="0.25">
      <c r="A404" s="57" t="s">
        <v>18</v>
      </c>
      <c r="B404" s="57" t="s">
        <v>18</v>
      </c>
      <c r="C404" s="57" t="s">
        <v>25</v>
      </c>
      <c r="D404" s="57" t="s">
        <v>18</v>
      </c>
      <c r="E404" s="57" t="s">
        <v>21</v>
      </c>
      <c r="F404" s="57" t="s">
        <v>18</v>
      </c>
      <c r="G404" s="57" t="s">
        <v>22</v>
      </c>
      <c r="H404" s="57" t="s">
        <v>19</v>
      </c>
      <c r="I404" s="57" t="s">
        <v>24</v>
      </c>
      <c r="J404" s="57" t="s">
        <v>18</v>
      </c>
      <c r="K404" s="57" t="s">
        <v>18</v>
      </c>
      <c r="L404" s="57" t="s">
        <v>20</v>
      </c>
      <c r="M404" s="57" t="s">
        <v>37</v>
      </c>
      <c r="N404" s="57" t="s">
        <v>18</v>
      </c>
      <c r="O404" s="57" t="s">
        <v>24</v>
      </c>
      <c r="P404" s="57" t="s">
        <v>22</v>
      </c>
      <c r="Q404" s="57" t="s">
        <v>46</v>
      </c>
      <c r="R404" s="149"/>
      <c r="S404" s="66" t="s">
        <v>0</v>
      </c>
      <c r="T404" s="1">
        <v>25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2">
        <f t="shared" si="90"/>
        <v>25</v>
      </c>
      <c r="AB404" s="61">
        <v>2018</v>
      </c>
      <c r="AC404" s="9"/>
      <c r="AD404" s="104"/>
      <c r="AE404" s="104"/>
    </row>
    <row r="405" spans="1:31" ht="15.6" hidden="1" customHeight="1" x14ac:dyDescent="0.25">
      <c r="A405" s="57" t="s">
        <v>18</v>
      </c>
      <c r="B405" s="57" t="s">
        <v>18</v>
      </c>
      <c r="C405" s="57" t="s">
        <v>25</v>
      </c>
      <c r="D405" s="57" t="s">
        <v>18</v>
      </c>
      <c r="E405" s="57" t="s">
        <v>21</v>
      </c>
      <c r="F405" s="57" t="s">
        <v>18</v>
      </c>
      <c r="G405" s="57" t="s">
        <v>22</v>
      </c>
      <c r="H405" s="57" t="s">
        <v>19</v>
      </c>
      <c r="I405" s="57" t="s">
        <v>24</v>
      </c>
      <c r="J405" s="57" t="s">
        <v>18</v>
      </c>
      <c r="K405" s="57" t="s">
        <v>18</v>
      </c>
      <c r="L405" s="57" t="s">
        <v>20</v>
      </c>
      <c r="M405" s="57" t="s">
        <v>37</v>
      </c>
      <c r="N405" s="57" t="s">
        <v>18</v>
      </c>
      <c r="O405" s="57" t="s">
        <v>24</v>
      </c>
      <c r="P405" s="57" t="s">
        <v>22</v>
      </c>
      <c r="Q405" s="57" t="s">
        <v>46</v>
      </c>
      <c r="R405" s="149"/>
      <c r="S405" s="66" t="s">
        <v>0</v>
      </c>
      <c r="T405" s="1">
        <v>212.4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2">
        <f t="shared" si="90"/>
        <v>212.4</v>
      </c>
      <c r="AB405" s="61">
        <v>2018</v>
      </c>
      <c r="AC405" s="9"/>
      <c r="AD405" s="104"/>
      <c r="AE405" s="104"/>
    </row>
    <row r="406" spans="1:31" ht="15.6" hidden="1" customHeight="1" x14ac:dyDescent="0.25">
      <c r="A406" s="57" t="s">
        <v>18</v>
      </c>
      <c r="B406" s="57" t="s">
        <v>18</v>
      </c>
      <c r="C406" s="57" t="s">
        <v>25</v>
      </c>
      <c r="D406" s="57" t="s">
        <v>18</v>
      </c>
      <c r="E406" s="57" t="s">
        <v>21</v>
      </c>
      <c r="F406" s="57" t="s">
        <v>18</v>
      </c>
      <c r="G406" s="57" t="s">
        <v>22</v>
      </c>
      <c r="H406" s="57" t="s">
        <v>19</v>
      </c>
      <c r="I406" s="57" t="s">
        <v>24</v>
      </c>
      <c r="J406" s="57" t="s">
        <v>18</v>
      </c>
      <c r="K406" s="57" t="s">
        <v>18</v>
      </c>
      <c r="L406" s="57" t="s">
        <v>20</v>
      </c>
      <c r="M406" s="57" t="s">
        <v>37</v>
      </c>
      <c r="N406" s="57" t="s">
        <v>18</v>
      </c>
      <c r="O406" s="57" t="s">
        <v>24</v>
      </c>
      <c r="P406" s="57" t="s">
        <v>22</v>
      </c>
      <c r="Q406" s="57" t="s">
        <v>39</v>
      </c>
      <c r="R406" s="149"/>
      <c r="S406" s="66" t="s">
        <v>0</v>
      </c>
      <c r="T406" s="1">
        <v>339.1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2">
        <f t="shared" si="90"/>
        <v>339.1</v>
      </c>
      <c r="AB406" s="61">
        <v>2018</v>
      </c>
      <c r="AC406" s="9"/>
      <c r="AD406" s="104"/>
      <c r="AE406" s="104"/>
    </row>
    <row r="407" spans="1:31" ht="31.15" hidden="1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83" t="s">
        <v>248</v>
      </c>
      <c r="S407" s="87" t="s">
        <v>182</v>
      </c>
      <c r="T407" s="3">
        <v>78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/>
      <c r="AA407" s="6">
        <f t="shared" si="90"/>
        <v>78</v>
      </c>
      <c r="AB407" s="41">
        <v>2018</v>
      </c>
      <c r="AC407" s="9"/>
      <c r="AD407" s="104"/>
      <c r="AE407" s="104"/>
    </row>
    <row r="408" spans="1:31" ht="15.6" hidden="1" customHeight="1" x14ac:dyDescent="0.25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149" t="s">
        <v>249</v>
      </c>
      <c r="S408" s="66" t="s">
        <v>0</v>
      </c>
      <c r="T408" s="1">
        <f>SUM(T409:T412)</f>
        <v>301.2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2">
        <f t="shared" si="90"/>
        <v>301.2</v>
      </c>
      <c r="AB408" s="61">
        <v>2018</v>
      </c>
      <c r="AC408" s="9"/>
      <c r="AD408" s="104"/>
      <c r="AE408" s="104"/>
    </row>
    <row r="409" spans="1:31" ht="15.6" hidden="1" customHeight="1" x14ac:dyDescent="0.25">
      <c r="A409" s="57" t="s">
        <v>18</v>
      </c>
      <c r="B409" s="57" t="s">
        <v>18</v>
      </c>
      <c r="C409" s="57" t="s">
        <v>25</v>
      </c>
      <c r="D409" s="57" t="s">
        <v>18</v>
      </c>
      <c r="E409" s="57" t="s">
        <v>21</v>
      </c>
      <c r="F409" s="57" t="s">
        <v>18</v>
      </c>
      <c r="G409" s="57" t="s">
        <v>22</v>
      </c>
      <c r="H409" s="57" t="s">
        <v>19</v>
      </c>
      <c r="I409" s="57" t="s">
        <v>24</v>
      </c>
      <c r="J409" s="57" t="s">
        <v>18</v>
      </c>
      <c r="K409" s="57" t="s">
        <v>18</v>
      </c>
      <c r="L409" s="57" t="s">
        <v>20</v>
      </c>
      <c r="M409" s="57" t="s">
        <v>19</v>
      </c>
      <c r="N409" s="57" t="s">
        <v>18</v>
      </c>
      <c r="O409" s="57" t="s">
        <v>24</v>
      </c>
      <c r="P409" s="57" t="s">
        <v>22</v>
      </c>
      <c r="Q409" s="57" t="s">
        <v>45</v>
      </c>
      <c r="R409" s="149"/>
      <c r="S409" s="66" t="s">
        <v>0</v>
      </c>
      <c r="T409" s="1">
        <v>114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62">
        <f t="shared" si="90"/>
        <v>114</v>
      </c>
      <c r="AB409" s="61">
        <v>2018</v>
      </c>
      <c r="AC409" s="9"/>
      <c r="AD409" s="104"/>
      <c r="AE409" s="104"/>
    </row>
    <row r="410" spans="1:31" ht="15.6" hidden="1" customHeight="1" x14ac:dyDescent="0.25">
      <c r="A410" s="57" t="s">
        <v>18</v>
      </c>
      <c r="B410" s="57" t="s">
        <v>18</v>
      </c>
      <c r="C410" s="57" t="s">
        <v>25</v>
      </c>
      <c r="D410" s="57" t="s">
        <v>18</v>
      </c>
      <c r="E410" s="57" t="s">
        <v>21</v>
      </c>
      <c r="F410" s="57" t="s">
        <v>18</v>
      </c>
      <c r="G410" s="57" t="s">
        <v>22</v>
      </c>
      <c r="H410" s="57" t="s">
        <v>19</v>
      </c>
      <c r="I410" s="57" t="s">
        <v>24</v>
      </c>
      <c r="J410" s="57" t="s">
        <v>18</v>
      </c>
      <c r="K410" s="57" t="s">
        <v>18</v>
      </c>
      <c r="L410" s="57" t="s">
        <v>20</v>
      </c>
      <c r="M410" s="57" t="s">
        <v>37</v>
      </c>
      <c r="N410" s="57" t="s">
        <v>18</v>
      </c>
      <c r="O410" s="57" t="s">
        <v>24</v>
      </c>
      <c r="P410" s="57" t="s">
        <v>22</v>
      </c>
      <c r="Q410" s="57" t="s">
        <v>46</v>
      </c>
      <c r="R410" s="149"/>
      <c r="S410" s="66" t="s">
        <v>0</v>
      </c>
      <c r="T410" s="1">
        <v>10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2">
        <f t="shared" si="90"/>
        <v>10</v>
      </c>
      <c r="AB410" s="61">
        <v>2018</v>
      </c>
      <c r="AC410" s="9"/>
      <c r="AD410" s="104"/>
      <c r="AE410" s="104"/>
    </row>
    <row r="411" spans="1:31" ht="15.6" hidden="1" customHeight="1" x14ac:dyDescent="0.25">
      <c r="A411" s="57" t="s">
        <v>18</v>
      </c>
      <c r="B411" s="57" t="s">
        <v>18</v>
      </c>
      <c r="C411" s="57" t="s">
        <v>25</v>
      </c>
      <c r="D411" s="57" t="s">
        <v>18</v>
      </c>
      <c r="E411" s="57" t="s">
        <v>21</v>
      </c>
      <c r="F411" s="57" t="s">
        <v>18</v>
      </c>
      <c r="G411" s="57" t="s">
        <v>22</v>
      </c>
      <c r="H411" s="57" t="s">
        <v>19</v>
      </c>
      <c r="I411" s="57" t="s">
        <v>24</v>
      </c>
      <c r="J411" s="57" t="s">
        <v>18</v>
      </c>
      <c r="K411" s="57" t="s">
        <v>18</v>
      </c>
      <c r="L411" s="57" t="s">
        <v>20</v>
      </c>
      <c r="M411" s="57" t="s">
        <v>37</v>
      </c>
      <c r="N411" s="57" t="s">
        <v>18</v>
      </c>
      <c r="O411" s="57" t="s">
        <v>24</v>
      </c>
      <c r="P411" s="57" t="s">
        <v>22</v>
      </c>
      <c r="Q411" s="57" t="s">
        <v>46</v>
      </c>
      <c r="R411" s="149"/>
      <c r="S411" s="66" t="s">
        <v>0</v>
      </c>
      <c r="T411" s="1">
        <v>63.2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2">
        <f t="shared" si="90"/>
        <v>63.2</v>
      </c>
      <c r="AB411" s="61">
        <v>2018</v>
      </c>
      <c r="AC411" s="9"/>
      <c r="AD411" s="104"/>
      <c r="AE411" s="104"/>
    </row>
    <row r="412" spans="1:31" ht="15.6" hidden="1" customHeight="1" x14ac:dyDescent="0.25">
      <c r="A412" s="57" t="s">
        <v>18</v>
      </c>
      <c r="B412" s="57" t="s">
        <v>18</v>
      </c>
      <c r="C412" s="57" t="s">
        <v>25</v>
      </c>
      <c r="D412" s="57" t="s">
        <v>18</v>
      </c>
      <c r="E412" s="57" t="s">
        <v>21</v>
      </c>
      <c r="F412" s="57" t="s">
        <v>18</v>
      </c>
      <c r="G412" s="57" t="s">
        <v>22</v>
      </c>
      <c r="H412" s="57" t="s">
        <v>19</v>
      </c>
      <c r="I412" s="57" t="s">
        <v>24</v>
      </c>
      <c r="J412" s="57" t="s">
        <v>18</v>
      </c>
      <c r="K412" s="57" t="s">
        <v>18</v>
      </c>
      <c r="L412" s="57" t="s">
        <v>20</v>
      </c>
      <c r="M412" s="57" t="s">
        <v>37</v>
      </c>
      <c r="N412" s="57" t="s">
        <v>18</v>
      </c>
      <c r="O412" s="57" t="s">
        <v>24</v>
      </c>
      <c r="P412" s="57" t="s">
        <v>22</v>
      </c>
      <c r="Q412" s="57" t="s">
        <v>39</v>
      </c>
      <c r="R412" s="149"/>
      <c r="S412" s="66" t="s">
        <v>0</v>
      </c>
      <c r="T412" s="1">
        <v>114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2">
        <f t="shared" si="90"/>
        <v>114</v>
      </c>
      <c r="AB412" s="61">
        <v>2018</v>
      </c>
      <c r="AC412" s="9"/>
      <c r="AD412" s="104"/>
      <c r="AE412" s="104"/>
    </row>
    <row r="413" spans="1:31" ht="45" hidden="1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83" t="s">
        <v>250</v>
      </c>
      <c r="S413" s="87" t="s">
        <v>50</v>
      </c>
      <c r="T413" s="44">
        <v>12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  <c r="Z413" s="44"/>
      <c r="AA413" s="52">
        <f t="shared" si="90"/>
        <v>12</v>
      </c>
      <c r="AB413" s="41">
        <v>2018</v>
      </c>
      <c r="AC413" s="9"/>
      <c r="AD413" s="104"/>
      <c r="AE413" s="104"/>
    </row>
    <row r="414" spans="1:31" ht="15.6" hidden="1" customHeight="1" x14ac:dyDescent="0.25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149" t="s">
        <v>251</v>
      </c>
      <c r="S414" s="66" t="s">
        <v>0</v>
      </c>
      <c r="T414" s="1">
        <f>SUM(T415:T418)</f>
        <v>465.4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2">
        <f t="shared" si="90"/>
        <v>465.4</v>
      </c>
      <c r="AB414" s="61">
        <v>2018</v>
      </c>
      <c r="AC414" s="9"/>
      <c r="AD414" s="104"/>
      <c r="AE414" s="104"/>
    </row>
    <row r="415" spans="1:31" ht="15.6" hidden="1" customHeight="1" x14ac:dyDescent="0.25">
      <c r="A415" s="57" t="s">
        <v>18</v>
      </c>
      <c r="B415" s="57" t="s">
        <v>18</v>
      </c>
      <c r="C415" s="57" t="s">
        <v>25</v>
      </c>
      <c r="D415" s="57" t="s">
        <v>18</v>
      </c>
      <c r="E415" s="57" t="s">
        <v>21</v>
      </c>
      <c r="F415" s="57" t="s">
        <v>18</v>
      </c>
      <c r="G415" s="57" t="s">
        <v>22</v>
      </c>
      <c r="H415" s="57" t="s">
        <v>19</v>
      </c>
      <c r="I415" s="57" t="s">
        <v>24</v>
      </c>
      <c r="J415" s="57" t="s">
        <v>18</v>
      </c>
      <c r="K415" s="57" t="s">
        <v>18</v>
      </c>
      <c r="L415" s="57" t="s">
        <v>20</v>
      </c>
      <c r="M415" s="57" t="s">
        <v>19</v>
      </c>
      <c r="N415" s="57" t="s">
        <v>18</v>
      </c>
      <c r="O415" s="57" t="s">
        <v>24</v>
      </c>
      <c r="P415" s="57" t="s">
        <v>22</v>
      </c>
      <c r="Q415" s="57" t="s">
        <v>45</v>
      </c>
      <c r="R415" s="149"/>
      <c r="S415" s="66" t="s">
        <v>0</v>
      </c>
      <c r="T415" s="1">
        <v>178.8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62">
        <f t="shared" si="90"/>
        <v>178.8</v>
      </c>
      <c r="AB415" s="61">
        <v>2018</v>
      </c>
      <c r="AC415" s="9"/>
      <c r="AD415" s="104"/>
      <c r="AE415" s="104"/>
    </row>
    <row r="416" spans="1:31" ht="15.6" hidden="1" customHeight="1" x14ac:dyDescent="0.25">
      <c r="A416" s="57" t="s">
        <v>18</v>
      </c>
      <c r="B416" s="57" t="s">
        <v>18</v>
      </c>
      <c r="C416" s="57" t="s">
        <v>25</v>
      </c>
      <c r="D416" s="57" t="s">
        <v>18</v>
      </c>
      <c r="E416" s="57" t="s">
        <v>21</v>
      </c>
      <c r="F416" s="57" t="s">
        <v>18</v>
      </c>
      <c r="G416" s="57" t="s">
        <v>22</v>
      </c>
      <c r="H416" s="57" t="s">
        <v>19</v>
      </c>
      <c r="I416" s="57" t="s">
        <v>24</v>
      </c>
      <c r="J416" s="57" t="s">
        <v>18</v>
      </c>
      <c r="K416" s="57" t="s">
        <v>18</v>
      </c>
      <c r="L416" s="57" t="s">
        <v>20</v>
      </c>
      <c r="M416" s="57" t="s">
        <v>37</v>
      </c>
      <c r="N416" s="57" t="s">
        <v>18</v>
      </c>
      <c r="O416" s="57" t="s">
        <v>24</v>
      </c>
      <c r="P416" s="57" t="s">
        <v>22</v>
      </c>
      <c r="Q416" s="57" t="s">
        <v>46</v>
      </c>
      <c r="R416" s="149"/>
      <c r="S416" s="66" t="s">
        <v>0</v>
      </c>
      <c r="T416" s="1">
        <v>10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2">
        <f t="shared" si="90"/>
        <v>10</v>
      </c>
      <c r="AB416" s="61">
        <v>2018</v>
      </c>
      <c r="AC416" s="9"/>
      <c r="AD416" s="104"/>
      <c r="AE416" s="104"/>
    </row>
    <row r="417" spans="1:31" ht="15.6" hidden="1" customHeight="1" x14ac:dyDescent="0.25">
      <c r="A417" s="57" t="s">
        <v>18</v>
      </c>
      <c r="B417" s="57" t="s">
        <v>18</v>
      </c>
      <c r="C417" s="57" t="s">
        <v>25</v>
      </c>
      <c r="D417" s="57" t="s">
        <v>18</v>
      </c>
      <c r="E417" s="57" t="s">
        <v>21</v>
      </c>
      <c r="F417" s="57" t="s">
        <v>18</v>
      </c>
      <c r="G417" s="57" t="s">
        <v>22</v>
      </c>
      <c r="H417" s="57" t="s">
        <v>19</v>
      </c>
      <c r="I417" s="57" t="s">
        <v>24</v>
      </c>
      <c r="J417" s="57" t="s">
        <v>18</v>
      </c>
      <c r="K417" s="57" t="s">
        <v>18</v>
      </c>
      <c r="L417" s="57" t="s">
        <v>20</v>
      </c>
      <c r="M417" s="57" t="s">
        <v>37</v>
      </c>
      <c r="N417" s="57" t="s">
        <v>18</v>
      </c>
      <c r="O417" s="57" t="s">
        <v>24</v>
      </c>
      <c r="P417" s="57" t="s">
        <v>22</v>
      </c>
      <c r="Q417" s="57" t="s">
        <v>46</v>
      </c>
      <c r="R417" s="149"/>
      <c r="S417" s="66" t="s">
        <v>0</v>
      </c>
      <c r="T417" s="1">
        <v>97.7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2">
        <f t="shared" si="90"/>
        <v>97.7</v>
      </c>
      <c r="AB417" s="61">
        <v>2018</v>
      </c>
      <c r="AC417" s="9"/>
      <c r="AD417" s="104"/>
      <c r="AE417" s="104"/>
    </row>
    <row r="418" spans="1:31" ht="15.6" hidden="1" customHeight="1" x14ac:dyDescent="0.25">
      <c r="A418" s="57" t="s">
        <v>18</v>
      </c>
      <c r="B418" s="57" t="s">
        <v>18</v>
      </c>
      <c r="C418" s="57" t="s">
        <v>25</v>
      </c>
      <c r="D418" s="57" t="s">
        <v>18</v>
      </c>
      <c r="E418" s="57" t="s">
        <v>21</v>
      </c>
      <c r="F418" s="57" t="s">
        <v>18</v>
      </c>
      <c r="G418" s="57" t="s">
        <v>22</v>
      </c>
      <c r="H418" s="57" t="s">
        <v>19</v>
      </c>
      <c r="I418" s="57" t="s">
        <v>24</v>
      </c>
      <c r="J418" s="57" t="s">
        <v>18</v>
      </c>
      <c r="K418" s="57" t="s">
        <v>18</v>
      </c>
      <c r="L418" s="57" t="s">
        <v>20</v>
      </c>
      <c r="M418" s="57" t="s">
        <v>37</v>
      </c>
      <c r="N418" s="57" t="s">
        <v>18</v>
      </c>
      <c r="O418" s="57" t="s">
        <v>24</v>
      </c>
      <c r="P418" s="57" t="s">
        <v>22</v>
      </c>
      <c r="Q418" s="57" t="s">
        <v>39</v>
      </c>
      <c r="R418" s="149"/>
      <c r="S418" s="66" t="s">
        <v>0</v>
      </c>
      <c r="T418" s="1">
        <v>178.9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2">
        <f t="shared" si="90"/>
        <v>178.9</v>
      </c>
      <c r="AB418" s="61">
        <v>2018</v>
      </c>
      <c r="AC418" s="9"/>
      <c r="AD418" s="104"/>
      <c r="AE418" s="104"/>
    </row>
    <row r="419" spans="1:31" ht="41.45" hidden="1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83" t="s">
        <v>252</v>
      </c>
      <c r="S419" s="87" t="s">
        <v>181</v>
      </c>
      <c r="T419" s="3">
        <v>127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/>
      <c r="AA419" s="6">
        <f t="shared" si="90"/>
        <v>127</v>
      </c>
      <c r="AB419" s="41">
        <v>2018</v>
      </c>
      <c r="AC419" s="9"/>
      <c r="AD419" s="104"/>
      <c r="AE419" s="104"/>
    </row>
    <row r="420" spans="1:31" ht="15.6" hidden="1" customHeight="1" x14ac:dyDescent="0.25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149" t="s">
        <v>253</v>
      </c>
      <c r="S420" s="66" t="s">
        <v>0</v>
      </c>
      <c r="T420" s="1">
        <f>SUM(T421:T424)</f>
        <v>482.90000000000003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2">
        <f t="shared" si="90"/>
        <v>482.90000000000003</v>
      </c>
      <c r="AB420" s="61">
        <v>2018</v>
      </c>
      <c r="AC420" s="9"/>
      <c r="AD420" s="104"/>
      <c r="AE420" s="104"/>
    </row>
    <row r="421" spans="1:31" ht="15.6" hidden="1" customHeight="1" x14ac:dyDescent="0.25">
      <c r="A421" s="57" t="s">
        <v>18</v>
      </c>
      <c r="B421" s="57" t="s">
        <v>18</v>
      </c>
      <c r="C421" s="57" t="s">
        <v>25</v>
      </c>
      <c r="D421" s="57" t="s">
        <v>18</v>
      </c>
      <c r="E421" s="57" t="s">
        <v>21</v>
      </c>
      <c r="F421" s="57" t="s">
        <v>18</v>
      </c>
      <c r="G421" s="57" t="s">
        <v>22</v>
      </c>
      <c r="H421" s="57" t="s">
        <v>19</v>
      </c>
      <c r="I421" s="57" t="s">
        <v>24</v>
      </c>
      <c r="J421" s="57" t="s">
        <v>18</v>
      </c>
      <c r="K421" s="57" t="s">
        <v>18</v>
      </c>
      <c r="L421" s="57" t="s">
        <v>20</v>
      </c>
      <c r="M421" s="57" t="s">
        <v>19</v>
      </c>
      <c r="N421" s="57" t="s">
        <v>18</v>
      </c>
      <c r="O421" s="57" t="s">
        <v>24</v>
      </c>
      <c r="P421" s="57" t="s">
        <v>22</v>
      </c>
      <c r="Q421" s="57" t="s">
        <v>45</v>
      </c>
      <c r="R421" s="149"/>
      <c r="S421" s="66" t="s">
        <v>0</v>
      </c>
      <c r="T421" s="1">
        <v>193.2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62">
        <f t="shared" si="90"/>
        <v>193.2</v>
      </c>
      <c r="AB421" s="61">
        <v>2018</v>
      </c>
      <c r="AC421" s="9"/>
      <c r="AD421" s="104"/>
      <c r="AE421" s="104"/>
    </row>
    <row r="422" spans="1:31" ht="15.6" hidden="1" customHeight="1" x14ac:dyDescent="0.25">
      <c r="A422" s="57" t="s">
        <v>18</v>
      </c>
      <c r="B422" s="57" t="s">
        <v>18</v>
      </c>
      <c r="C422" s="57" t="s">
        <v>25</v>
      </c>
      <c r="D422" s="57" t="s">
        <v>18</v>
      </c>
      <c r="E422" s="57" t="s">
        <v>21</v>
      </c>
      <c r="F422" s="57" t="s">
        <v>18</v>
      </c>
      <c r="G422" s="57" t="s">
        <v>22</v>
      </c>
      <c r="H422" s="57" t="s">
        <v>19</v>
      </c>
      <c r="I422" s="57" t="s">
        <v>24</v>
      </c>
      <c r="J422" s="57" t="s">
        <v>18</v>
      </c>
      <c r="K422" s="57" t="s">
        <v>18</v>
      </c>
      <c r="L422" s="57" t="s">
        <v>20</v>
      </c>
      <c r="M422" s="57" t="s">
        <v>37</v>
      </c>
      <c r="N422" s="57" t="s">
        <v>18</v>
      </c>
      <c r="O422" s="57" t="s">
        <v>24</v>
      </c>
      <c r="P422" s="57" t="s">
        <v>22</v>
      </c>
      <c r="Q422" s="57" t="s">
        <v>46</v>
      </c>
      <c r="R422" s="149"/>
      <c r="S422" s="66" t="s">
        <v>0</v>
      </c>
      <c r="T422" s="1">
        <v>10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2">
        <f t="shared" si="90"/>
        <v>10</v>
      </c>
      <c r="AB422" s="61">
        <v>2018</v>
      </c>
      <c r="AC422" s="9"/>
      <c r="AD422" s="104"/>
      <c r="AE422" s="104"/>
    </row>
    <row r="423" spans="1:31" ht="15.6" hidden="1" customHeight="1" x14ac:dyDescent="0.25">
      <c r="A423" s="57" t="s">
        <v>18</v>
      </c>
      <c r="B423" s="57" t="s">
        <v>18</v>
      </c>
      <c r="C423" s="57" t="s">
        <v>25</v>
      </c>
      <c r="D423" s="57" t="s">
        <v>18</v>
      </c>
      <c r="E423" s="57" t="s">
        <v>21</v>
      </c>
      <c r="F423" s="57" t="s">
        <v>18</v>
      </c>
      <c r="G423" s="57" t="s">
        <v>22</v>
      </c>
      <c r="H423" s="57" t="s">
        <v>19</v>
      </c>
      <c r="I423" s="57" t="s">
        <v>24</v>
      </c>
      <c r="J423" s="57" t="s">
        <v>18</v>
      </c>
      <c r="K423" s="57" t="s">
        <v>18</v>
      </c>
      <c r="L423" s="57" t="s">
        <v>20</v>
      </c>
      <c r="M423" s="57" t="s">
        <v>37</v>
      </c>
      <c r="N423" s="57" t="s">
        <v>18</v>
      </c>
      <c r="O423" s="57" t="s">
        <v>24</v>
      </c>
      <c r="P423" s="57" t="s">
        <v>22</v>
      </c>
      <c r="Q423" s="57" t="s">
        <v>46</v>
      </c>
      <c r="R423" s="149"/>
      <c r="S423" s="66" t="s">
        <v>0</v>
      </c>
      <c r="T423" s="1">
        <v>101.4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2">
        <f t="shared" si="90"/>
        <v>101.4</v>
      </c>
      <c r="AB423" s="61">
        <v>2018</v>
      </c>
      <c r="AC423" s="9"/>
      <c r="AD423" s="104"/>
      <c r="AE423" s="104"/>
    </row>
    <row r="424" spans="1:31" ht="15.6" hidden="1" customHeight="1" x14ac:dyDescent="0.25">
      <c r="A424" s="57" t="s">
        <v>18</v>
      </c>
      <c r="B424" s="57" t="s">
        <v>18</v>
      </c>
      <c r="C424" s="57" t="s">
        <v>25</v>
      </c>
      <c r="D424" s="57" t="s">
        <v>18</v>
      </c>
      <c r="E424" s="57" t="s">
        <v>21</v>
      </c>
      <c r="F424" s="57" t="s">
        <v>18</v>
      </c>
      <c r="G424" s="57" t="s">
        <v>22</v>
      </c>
      <c r="H424" s="57" t="s">
        <v>19</v>
      </c>
      <c r="I424" s="57" t="s">
        <v>24</v>
      </c>
      <c r="J424" s="57" t="s">
        <v>18</v>
      </c>
      <c r="K424" s="57" t="s">
        <v>18</v>
      </c>
      <c r="L424" s="57" t="s">
        <v>20</v>
      </c>
      <c r="M424" s="57" t="s">
        <v>37</v>
      </c>
      <c r="N424" s="57" t="s">
        <v>18</v>
      </c>
      <c r="O424" s="57" t="s">
        <v>24</v>
      </c>
      <c r="P424" s="57" t="s">
        <v>22</v>
      </c>
      <c r="Q424" s="57" t="s">
        <v>39</v>
      </c>
      <c r="R424" s="149"/>
      <c r="S424" s="66" t="s">
        <v>0</v>
      </c>
      <c r="T424" s="1">
        <v>178.3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2">
        <f t="shared" si="90"/>
        <v>178.3</v>
      </c>
      <c r="AB424" s="61">
        <v>2018</v>
      </c>
      <c r="AC424" s="9"/>
      <c r="AD424" s="104"/>
      <c r="AE424" s="104"/>
    </row>
    <row r="425" spans="1:31" ht="42" hidden="1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83" t="s">
        <v>254</v>
      </c>
      <c r="S425" s="87" t="s">
        <v>181</v>
      </c>
      <c r="T425" s="3">
        <v>131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/>
      <c r="AA425" s="6">
        <f t="shared" si="90"/>
        <v>131</v>
      </c>
      <c r="AB425" s="41">
        <v>2018</v>
      </c>
      <c r="AC425" s="9"/>
      <c r="AD425" s="104"/>
      <c r="AE425" s="104"/>
    </row>
    <row r="426" spans="1:31" ht="18.75" hidden="1" customHeight="1" x14ac:dyDescent="0.25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149" t="s">
        <v>255</v>
      </c>
      <c r="S426" s="66" t="s">
        <v>0</v>
      </c>
      <c r="T426" s="1">
        <f>SUM(T427:T429)</f>
        <v>880.6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62">
        <f t="shared" si="90"/>
        <v>880.6</v>
      </c>
      <c r="AB426" s="61">
        <v>2018</v>
      </c>
      <c r="AC426" s="9"/>
      <c r="AD426" s="104"/>
      <c r="AE426" s="104"/>
    </row>
    <row r="427" spans="1:31" ht="18.75" hidden="1" customHeight="1" x14ac:dyDescent="0.25">
      <c r="A427" s="57" t="s">
        <v>18</v>
      </c>
      <c r="B427" s="57" t="s">
        <v>18</v>
      </c>
      <c r="C427" s="57" t="s">
        <v>25</v>
      </c>
      <c r="D427" s="57" t="s">
        <v>18</v>
      </c>
      <c r="E427" s="57" t="s">
        <v>21</v>
      </c>
      <c r="F427" s="57" t="s">
        <v>18</v>
      </c>
      <c r="G427" s="57" t="s">
        <v>22</v>
      </c>
      <c r="H427" s="57" t="s">
        <v>19</v>
      </c>
      <c r="I427" s="57" t="s">
        <v>24</v>
      </c>
      <c r="J427" s="57" t="s">
        <v>18</v>
      </c>
      <c r="K427" s="57" t="s">
        <v>18</v>
      </c>
      <c r="L427" s="57" t="s">
        <v>20</v>
      </c>
      <c r="M427" s="57" t="s">
        <v>19</v>
      </c>
      <c r="N427" s="57" t="s">
        <v>18</v>
      </c>
      <c r="O427" s="57" t="s">
        <v>24</v>
      </c>
      <c r="P427" s="57" t="s">
        <v>22</v>
      </c>
      <c r="Q427" s="57" t="s">
        <v>45</v>
      </c>
      <c r="R427" s="149"/>
      <c r="S427" s="66" t="s">
        <v>0</v>
      </c>
      <c r="T427" s="1">
        <v>352.2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2">
        <f t="shared" si="90"/>
        <v>352.2</v>
      </c>
      <c r="AB427" s="61">
        <v>2018</v>
      </c>
      <c r="AC427" s="9"/>
      <c r="AD427" s="104"/>
      <c r="AE427" s="104"/>
    </row>
    <row r="428" spans="1:31" ht="18.75" hidden="1" customHeight="1" x14ac:dyDescent="0.25">
      <c r="A428" s="57" t="s">
        <v>18</v>
      </c>
      <c r="B428" s="57" t="s">
        <v>18</v>
      </c>
      <c r="C428" s="57" t="s">
        <v>25</v>
      </c>
      <c r="D428" s="57" t="s">
        <v>18</v>
      </c>
      <c r="E428" s="57" t="s">
        <v>21</v>
      </c>
      <c r="F428" s="57" t="s">
        <v>18</v>
      </c>
      <c r="G428" s="57" t="s">
        <v>22</v>
      </c>
      <c r="H428" s="57" t="s">
        <v>19</v>
      </c>
      <c r="I428" s="57" t="s">
        <v>24</v>
      </c>
      <c r="J428" s="57" t="s">
        <v>18</v>
      </c>
      <c r="K428" s="57" t="s">
        <v>18</v>
      </c>
      <c r="L428" s="57" t="s">
        <v>20</v>
      </c>
      <c r="M428" s="57" t="s">
        <v>37</v>
      </c>
      <c r="N428" s="57" t="s">
        <v>18</v>
      </c>
      <c r="O428" s="57" t="s">
        <v>24</v>
      </c>
      <c r="P428" s="57" t="s">
        <v>22</v>
      </c>
      <c r="Q428" s="57" t="s">
        <v>46</v>
      </c>
      <c r="R428" s="149"/>
      <c r="S428" s="66" t="s">
        <v>0</v>
      </c>
      <c r="T428" s="1">
        <v>140.9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2">
        <f t="shared" si="90"/>
        <v>140.9</v>
      </c>
      <c r="AB428" s="61">
        <v>2018</v>
      </c>
      <c r="AC428" s="9"/>
      <c r="AD428" s="104"/>
      <c r="AE428" s="104"/>
    </row>
    <row r="429" spans="1:31" ht="18.75" hidden="1" customHeight="1" x14ac:dyDescent="0.25">
      <c r="A429" s="57" t="s">
        <v>18</v>
      </c>
      <c r="B429" s="57" t="s">
        <v>18</v>
      </c>
      <c r="C429" s="57" t="s">
        <v>25</v>
      </c>
      <c r="D429" s="57" t="s">
        <v>18</v>
      </c>
      <c r="E429" s="57" t="s">
        <v>21</v>
      </c>
      <c r="F429" s="57" t="s">
        <v>18</v>
      </c>
      <c r="G429" s="57" t="s">
        <v>22</v>
      </c>
      <c r="H429" s="57" t="s">
        <v>19</v>
      </c>
      <c r="I429" s="57" t="s">
        <v>24</v>
      </c>
      <c r="J429" s="57" t="s">
        <v>18</v>
      </c>
      <c r="K429" s="57" t="s">
        <v>18</v>
      </c>
      <c r="L429" s="57" t="s">
        <v>20</v>
      </c>
      <c r="M429" s="57" t="s">
        <v>37</v>
      </c>
      <c r="N429" s="57" t="s">
        <v>18</v>
      </c>
      <c r="O429" s="57" t="s">
        <v>24</v>
      </c>
      <c r="P429" s="57" t="s">
        <v>22</v>
      </c>
      <c r="Q429" s="57" t="s">
        <v>39</v>
      </c>
      <c r="R429" s="149"/>
      <c r="S429" s="66" t="s">
        <v>0</v>
      </c>
      <c r="T429" s="1">
        <v>387.5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2">
        <f t="shared" si="90"/>
        <v>387.5</v>
      </c>
      <c r="AB429" s="61">
        <v>2018</v>
      </c>
      <c r="AC429" s="9"/>
      <c r="AD429" s="104"/>
      <c r="AE429" s="104"/>
    </row>
    <row r="430" spans="1:31" ht="46.15" hidden="1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81" t="s">
        <v>256</v>
      </c>
      <c r="S430" s="87" t="s">
        <v>181</v>
      </c>
      <c r="T430" s="3">
        <v>600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/>
      <c r="AA430" s="6">
        <f t="shared" si="90"/>
        <v>600</v>
      </c>
      <c r="AB430" s="41">
        <v>2018</v>
      </c>
      <c r="AC430" s="9"/>
      <c r="AD430" s="104"/>
      <c r="AE430" s="104"/>
    </row>
    <row r="431" spans="1:31" ht="15.6" hidden="1" customHeight="1" x14ac:dyDescent="0.25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149" t="s">
        <v>257</v>
      </c>
      <c r="S431" s="66" t="s">
        <v>0</v>
      </c>
      <c r="T431" s="1">
        <f>SUM(T432:T435)</f>
        <v>293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2">
        <f t="shared" si="90"/>
        <v>293</v>
      </c>
      <c r="AB431" s="61">
        <v>2018</v>
      </c>
      <c r="AC431" s="9"/>
      <c r="AD431" s="104"/>
      <c r="AE431" s="104"/>
    </row>
    <row r="432" spans="1:31" ht="15.6" hidden="1" customHeight="1" x14ac:dyDescent="0.25">
      <c r="A432" s="57" t="s">
        <v>18</v>
      </c>
      <c r="B432" s="57" t="s">
        <v>18</v>
      </c>
      <c r="C432" s="57" t="s">
        <v>25</v>
      </c>
      <c r="D432" s="57" t="s">
        <v>18</v>
      </c>
      <c r="E432" s="57" t="s">
        <v>21</v>
      </c>
      <c r="F432" s="57" t="s">
        <v>18</v>
      </c>
      <c r="G432" s="57" t="s">
        <v>22</v>
      </c>
      <c r="H432" s="57" t="s">
        <v>19</v>
      </c>
      <c r="I432" s="57" t="s">
        <v>24</v>
      </c>
      <c r="J432" s="57" t="s">
        <v>18</v>
      </c>
      <c r="K432" s="57" t="s">
        <v>18</v>
      </c>
      <c r="L432" s="57" t="s">
        <v>20</v>
      </c>
      <c r="M432" s="57" t="s">
        <v>19</v>
      </c>
      <c r="N432" s="57" t="s">
        <v>18</v>
      </c>
      <c r="O432" s="57" t="s">
        <v>24</v>
      </c>
      <c r="P432" s="57" t="s">
        <v>22</v>
      </c>
      <c r="Q432" s="57" t="s">
        <v>45</v>
      </c>
      <c r="R432" s="149"/>
      <c r="S432" s="66" t="s">
        <v>0</v>
      </c>
      <c r="T432" s="1">
        <v>117.2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62">
        <f t="shared" si="90"/>
        <v>117.2</v>
      </c>
      <c r="AB432" s="61">
        <v>2018</v>
      </c>
      <c r="AC432" s="9"/>
      <c r="AD432" s="104"/>
      <c r="AE432" s="104"/>
    </row>
    <row r="433" spans="1:31" ht="15.6" hidden="1" customHeight="1" x14ac:dyDescent="0.25">
      <c r="A433" s="57" t="s">
        <v>18</v>
      </c>
      <c r="B433" s="57" t="s">
        <v>18</v>
      </c>
      <c r="C433" s="57" t="s">
        <v>25</v>
      </c>
      <c r="D433" s="57" t="s">
        <v>18</v>
      </c>
      <c r="E433" s="57" t="s">
        <v>21</v>
      </c>
      <c r="F433" s="57" t="s">
        <v>18</v>
      </c>
      <c r="G433" s="57" t="s">
        <v>22</v>
      </c>
      <c r="H433" s="57" t="s">
        <v>19</v>
      </c>
      <c r="I433" s="57" t="s">
        <v>24</v>
      </c>
      <c r="J433" s="57" t="s">
        <v>18</v>
      </c>
      <c r="K433" s="57" t="s">
        <v>18</v>
      </c>
      <c r="L433" s="57" t="s">
        <v>20</v>
      </c>
      <c r="M433" s="57" t="s">
        <v>37</v>
      </c>
      <c r="N433" s="57" t="s">
        <v>18</v>
      </c>
      <c r="O433" s="57" t="s">
        <v>24</v>
      </c>
      <c r="P433" s="57" t="s">
        <v>22</v>
      </c>
      <c r="Q433" s="57" t="s">
        <v>46</v>
      </c>
      <c r="R433" s="149"/>
      <c r="S433" s="66" t="s">
        <v>0</v>
      </c>
      <c r="T433" s="1">
        <v>22.6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2">
        <f t="shared" si="90"/>
        <v>22.6</v>
      </c>
      <c r="AB433" s="61">
        <v>2018</v>
      </c>
      <c r="AC433" s="9"/>
      <c r="AD433" s="104"/>
      <c r="AE433" s="104"/>
    </row>
    <row r="434" spans="1:31" ht="15.6" hidden="1" customHeight="1" x14ac:dyDescent="0.25">
      <c r="A434" s="57" t="s">
        <v>18</v>
      </c>
      <c r="B434" s="57" t="s">
        <v>18</v>
      </c>
      <c r="C434" s="57" t="s">
        <v>25</v>
      </c>
      <c r="D434" s="57" t="s">
        <v>18</v>
      </c>
      <c r="E434" s="57" t="s">
        <v>21</v>
      </c>
      <c r="F434" s="57" t="s">
        <v>18</v>
      </c>
      <c r="G434" s="57" t="s">
        <v>22</v>
      </c>
      <c r="H434" s="57" t="s">
        <v>19</v>
      </c>
      <c r="I434" s="57" t="s">
        <v>24</v>
      </c>
      <c r="J434" s="57" t="s">
        <v>18</v>
      </c>
      <c r="K434" s="57" t="s">
        <v>18</v>
      </c>
      <c r="L434" s="57" t="s">
        <v>20</v>
      </c>
      <c r="M434" s="57" t="s">
        <v>37</v>
      </c>
      <c r="N434" s="57" t="s">
        <v>18</v>
      </c>
      <c r="O434" s="57" t="s">
        <v>24</v>
      </c>
      <c r="P434" s="57" t="s">
        <v>22</v>
      </c>
      <c r="Q434" s="57" t="s">
        <v>46</v>
      </c>
      <c r="R434" s="149"/>
      <c r="S434" s="66" t="s">
        <v>0</v>
      </c>
      <c r="T434" s="1">
        <v>61.5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2">
        <f t="shared" si="90"/>
        <v>61.5</v>
      </c>
      <c r="AB434" s="61">
        <v>2018</v>
      </c>
      <c r="AC434" s="9"/>
      <c r="AD434" s="104"/>
      <c r="AE434" s="104"/>
    </row>
    <row r="435" spans="1:31" ht="15.6" hidden="1" customHeight="1" x14ac:dyDescent="0.25">
      <c r="A435" s="57" t="s">
        <v>18</v>
      </c>
      <c r="B435" s="57" t="s">
        <v>18</v>
      </c>
      <c r="C435" s="57" t="s">
        <v>25</v>
      </c>
      <c r="D435" s="57" t="s">
        <v>18</v>
      </c>
      <c r="E435" s="57" t="s">
        <v>21</v>
      </c>
      <c r="F435" s="57" t="s">
        <v>18</v>
      </c>
      <c r="G435" s="57" t="s">
        <v>22</v>
      </c>
      <c r="H435" s="57" t="s">
        <v>19</v>
      </c>
      <c r="I435" s="57" t="s">
        <v>24</v>
      </c>
      <c r="J435" s="57" t="s">
        <v>18</v>
      </c>
      <c r="K435" s="57" t="s">
        <v>18</v>
      </c>
      <c r="L435" s="57" t="s">
        <v>20</v>
      </c>
      <c r="M435" s="57" t="s">
        <v>37</v>
      </c>
      <c r="N435" s="57" t="s">
        <v>18</v>
      </c>
      <c r="O435" s="57" t="s">
        <v>24</v>
      </c>
      <c r="P435" s="57" t="s">
        <v>22</v>
      </c>
      <c r="Q435" s="57" t="s">
        <v>39</v>
      </c>
      <c r="R435" s="149"/>
      <c r="S435" s="66" t="s">
        <v>0</v>
      </c>
      <c r="T435" s="1">
        <v>91.7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2">
        <f t="shared" si="90"/>
        <v>91.7</v>
      </c>
      <c r="AB435" s="61">
        <v>2018</v>
      </c>
      <c r="AC435" s="9"/>
      <c r="AD435" s="104"/>
      <c r="AE435" s="104"/>
    </row>
    <row r="436" spans="1:31" ht="31.15" hidden="1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83" t="s">
        <v>258</v>
      </c>
      <c r="S436" s="87" t="s">
        <v>182</v>
      </c>
      <c r="T436" s="3">
        <v>126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/>
      <c r="AA436" s="6">
        <f t="shared" si="90"/>
        <v>126</v>
      </c>
      <c r="AB436" s="41">
        <v>2018</v>
      </c>
      <c r="AC436" s="9"/>
      <c r="AD436" s="104"/>
      <c r="AE436" s="104"/>
    </row>
    <row r="437" spans="1:31" ht="15.6" hidden="1" customHeight="1" x14ac:dyDescent="0.25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149" t="s">
        <v>259</v>
      </c>
      <c r="S437" s="66" t="s">
        <v>0</v>
      </c>
      <c r="T437" s="1">
        <f>SUM(T438:T441)</f>
        <v>470.59999999999997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2">
        <f t="shared" si="90"/>
        <v>470.59999999999997</v>
      </c>
      <c r="AB437" s="61">
        <v>2018</v>
      </c>
      <c r="AC437" s="9"/>
      <c r="AD437" s="104"/>
      <c r="AE437" s="104"/>
    </row>
    <row r="438" spans="1:31" ht="15.6" hidden="1" customHeight="1" x14ac:dyDescent="0.25">
      <c r="A438" s="57" t="s">
        <v>18</v>
      </c>
      <c r="B438" s="57" t="s">
        <v>18</v>
      </c>
      <c r="C438" s="57" t="s">
        <v>25</v>
      </c>
      <c r="D438" s="57" t="s">
        <v>18</v>
      </c>
      <c r="E438" s="57" t="s">
        <v>21</v>
      </c>
      <c r="F438" s="57" t="s">
        <v>18</v>
      </c>
      <c r="G438" s="57" t="s">
        <v>22</v>
      </c>
      <c r="H438" s="57" t="s">
        <v>19</v>
      </c>
      <c r="I438" s="57" t="s">
        <v>24</v>
      </c>
      <c r="J438" s="57" t="s">
        <v>18</v>
      </c>
      <c r="K438" s="57" t="s">
        <v>18</v>
      </c>
      <c r="L438" s="57" t="s">
        <v>20</v>
      </c>
      <c r="M438" s="57" t="s">
        <v>19</v>
      </c>
      <c r="N438" s="57" t="s">
        <v>18</v>
      </c>
      <c r="O438" s="57" t="s">
        <v>24</v>
      </c>
      <c r="P438" s="57" t="s">
        <v>22</v>
      </c>
      <c r="Q438" s="57" t="s">
        <v>45</v>
      </c>
      <c r="R438" s="149"/>
      <c r="S438" s="66" t="s">
        <v>0</v>
      </c>
      <c r="T438" s="1">
        <v>188.2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62">
        <f t="shared" si="90"/>
        <v>188.2</v>
      </c>
      <c r="AB438" s="61">
        <v>2018</v>
      </c>
      <c r="AC438" s="9"/>
      <c r="AD438" s="104"/>
      <c r="AE438" s="104"/>
    </row>
    <row r="439" spans="1:31" ht="15.6" hidden="1" customHeight="1" x14ac:dyDescent="0.25">
      <c r="A439" s="57" t="s">
        <v>18</v>
      </c>
      <c r="B439" s="57" t="s">
        <v>18</v>
      </c>
      <c r="C439" s="57" t="s">
        <v>25</v>
      </c>
      <c r="D439" s="57" t="s">
        <v>18</v>
      </c>
      <c r="E439" s="57" t="s">
        <v>21</v>
      </c>
      <c r="F439" s="57" t="s">
        <v>18</v>
      </c>
      <c r="G439" s="57" t="s">
        <v>22</v>
      </c>
      <c r="H439" s="57" t="s">
        <v>19</v>
      </c>
      <c r="I439" s="57" t="s">
        <v>24</v>
      </c>
      <c r="J439" s="57" t="s">
        <v>18</v>
      </c>
      <c r="K439" s="57" t="s">
        <v>18</v>
      </c>
      <c r="L439" s="57" t="s">
        <v>20</v>
      </c>
      <c r="M439" s="57" t="s">
        <v>37</v>
      </c>
      <c r="N439" s="57" t="s">
        <v>18</v>
      </c>
      <c r="O439" s="57" t="s">
        <v>24</v>
      </c>
      <c r="P439" s="57" t="s">
        <v>22</v>
      </c>
      <c r="Q439" s="57" t="s">
        <v>46</v>
      </c>
      <c r="R439" s="149"/>
      <c r="S439" s="66" t="s">
        <v>0</v>
      </c>
      <c r="T439" s="1">
        <v>35.1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2">
        <f t="shared" si="90"/>
        <v>35.1</v>
      </c>
      <c r="AB439" s="61">
        <v>2018</v>
      </c>
      <c r="AC439" s="9"/>
      <c r="AD439" s="104"/>
      <c r="AE439" s="104"/>
    </row>
    <row r="440" spans="1:31" ht="15.6" hidden="1" customHeight="1" x14ac:dyDescent="0.25">
      <c r="A440" s="57" t="s">
        <v>18</v>
      </c>
      <c r="B440" s="57" t="s">
        <v>18</v>
      </c>
      <c r="C440" s="57" t="s">
        <v>25</v>
      </c>
      <c r="D440" s="57" t="s">
        <v>18</v>
      </c>
      <c r="E440" s="57" t="s">
        <v>21</v>
      </c>
      <c r="F440" s="57" t="s">
        <v>18</v>
      </c>
      <c r="G440" s="57" t="s">
        <v>22</v>
      </c>
      <c r="H440" s="57" t="s">
        <v>19</v>
      </c>
      <c r="I440" s="57" t="s">
        <v>24</v>
      </c>
      <c r="J440" s="57" t="s">
        <v>18</v>
      </c>
      <c r="K440" s="57" t="s">
        <v>18</v>
      </c>
      <c r="L440" s="57" t="s">
        <v>20</v>
      </c>
      <c r="M440" s="57" t="s">
        <v>37</v>
      </c>
      <c r="N440" s="57" t="s">
        <v>18</v>
      </c>
      <c r="O440" s="57" t="s">
        <v>24</v>
      </c>
      <c r="P440" s="57" t="s">
        <v>22</v>
      </c>
      <c r="Q440" s="57" t="s">
        <v>46</v>
      </c>
      <c r="R440" s="149"/>
      <c r="S440" s="66" t="s">
        <v>0</v>
      </c>
      <c r="T440" s="1">
        <v>98.8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2">
        <f t="shared" si="90"/>
        <v>98.8</v>
      </c>
      <c r="AB440" s="61">
        <v>2018</v>
      </c>
      <c r="AC440" s="9"/>
      <c r="AD440" s="104"/>
      <c r="AE440" s="104"/>
    </row>
    <row r="441" spans="1:31" ht="15.6" hidden="1" customHeight="1" x14ac:dyDescent="0.25">
      <c r="A441" s="57" t="s">
        <v>18</v>
      </c>
      <c r="B441" s="57" t="s">
        <v>18</v>
      </c>
      <c r="C441" s="57" t="s">
        <v>25</v>
      </c>
      <c r="D441" s="57" t="s">
        <v>18</v>
      </c>
      <c r="E441" s="57" t="s">
        <v>21</v>
      </c>
      <c r="F441" s="57" t="s">
        <v>18</v>
      </c>
      <c r="G441" s="57" t="s">
        <v>22</v>
      </c>
      <c r="H441" s="57" t="s">
        <v>19</v>
      </c>
      <c r="I441" s="57" t="s">
        <v>24</v>
      </c>
      <c r="J441" s="57" t="s">
        <v>18</v>
      </c>
      <c r="K441" s="57" t="s">
        <v>18</v>
      </c>
      <c r="L441" s="57" t="s">
        <v>20</v>
      </c>
      <c r="M441" s="57" t="s">
        <v>37</v>
      </c>
      <c r="N441" s="57" t="s">
        <v>18</v>
      </c>
      <c r="O441" s="57" t="s">
        <v>24</v>
      </c>
      <c r="P441" s="57" t="s">
        <v>22</v>
      </c>
      <c r="Q441" s="57" t="s">
        <v>39</v>
      </c>
      <c r="R441" s="149"/>
      <c r="S441" s="66" t="s">
        <v>0</v>
      </c>
      <c r="T441" s="1">
        <v>148.5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2">
        <f t="shared" si="90"/>
        <v>148.5</v>
      </c>
      <c r="AB441" s="61">
        <v>2018</v>
      </c>
      <c r="AC441" s="9"/>
      <c r="AD441" s="104"/>
      <c r="AE441" s="104"/>
    </row>
    <row r="442" spans="1:31" ht="31.15" hidden="1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83" t="s">
        <v>260</v>
      </c>
      <c r="S442" s="87" t="s">
        <v>181</v>
      </c>
      <c r="T442" s="3">
        <v>131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/>
      <c r="AA442" s="6">
        <f t="shared" si="90"/>
        <v>131</v>
      </c>
      <c r="AB442" s="41">
        <v>2018</v>
      </c>
      <c r="AC442" s="9"/>
      <c r="AD442" s="104"/>
      <c r="AE442" s="104"/>
    </row>
    <row r="443" spans="1:31" ht="15.6" hidden="1" customHeight="1" x14ac:dyDescent="0.25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149" t="s">
        <v>261</v>
      </c>
      <c r="S443" s="66" t="s">
        <v>0</v>
      </c>
      <c r="T443" s="1">
        <f>SUM(T444:T447)</f>
        <v>879.8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2">
        <f t="shared" si="90"/>
        <v>879.8</v>
      </c>
      <c r="AB443" s="61">
        <v>2018</v>
      </c>
      <c r="AC443" s="9"/>
      <c r="AD443" s="104"/>
      <c r="AE443" s="104"/>
    </row>
    <row r="444" spans="1:31" ht="15.6" hidden="1" customHeight="1" x14ac:dyDescent="0.25">
      <c r="A444" s="57" t="s">
        <v>18</v>
      </c>
      <c r="B444" s="57" t="s">
        <v>18</v>
      </c>
      <c r="C444" s="57" t="s">
        <v>25</v>
      </c>
      <c r="D444" s="57" t="s">
        <v>18</v>
      </c>
      <c r="E444" s="57" t="s">
        <v>21</v>
      </c>
      <c r="F444" s="57" t="s">
        <v>18</v>
      </c>
      <c r="G444" s="57" t="s">
        <v>22</v>
      </c>
      <c r="H444" s="57" t="s">
        <v>19</v>
      </c>
      <c r="I444" s="57" t="s">
        <v>24</v>
      </c>
      <c r="J444" s="57" t="s">
        <v>18</v>
      </c>
      <c r="K444" s="57" t="s">
        <v>18</v>
      </c>
      <c r="L444" s="57" t="s">
        <v>20</v>
      </c>
      <c r="M444" s="57" t="s">
        <v>19</v>
      </c>
      <c r="N444" s="57" t="s">
        <v>18</v>
      </c>
      <c r="O444" s="57" t="s">
        <v>24</v>
      </c>
      <c r="P444" s="57" t="s">
        <v>22</v>
      </c>
      <c r="Q444" s="57" t="s">
        <v>45</v>
      </c>
      <c r="R444" s="149"/>
      <c r="S444" s="66" t="s">
        <v>0</v>
      </c>
      <c r="T444" s="1">
        <v>350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62">
        <f t="shared" si="90"/>
        <v>350</v>
      </c>
      <c r="AB444" s="61">
        <v>2018</v>
      </c>
      <c r="AC444" s="9"/>
      <c r="AD444" s="104"/>
      <c r="AE444" s="104"/>
    </row>
    <row r="445" spans="1:31" ht="15.6" hidden="1" customHeight="1" x14ac:dyDescent="0.25">
      <c r="A445" s="57" t="s">
        <v>18</v>
      </c>
      <c r="B445" s="57" t="s">
        <v>18</v>
      </c>
      <c r="C445" s="57" t="s">
        <v>25</v>
      </c>
      <c r="D445" s="57" t="s">
        <v>18</v>
      </c>
      <c r="E445" s="57" t="s">
        <v>21</v>
      </c>
      <c r="F445" s="57" t="s">
        <v>18</v>
      </c>
      <c r="G445" s="57" t="s">
        <v>22</v>
      </c>
      <c r="H445" s="57" t="s">
        <v>19</v>
      </c>
      <c r="I445" s="57" t="s">
        <v>24</v>
      </c>
      <c r="J445" s="57" t="s">
        <v>18</v>
      </c>
      <c r="K445" s="57" t="s">
        <v>18</v>
      </c>
      <c r="L445" s="57" t="s">
        <v>20</v>
      </c>
      <c r="M445" s="57" t="s">
        <v>37</v>
      </c>
      <c r="N445" s="57" t="s">
        <v>18</v>
      </c>
      <c r="O445" s="57" t="s">
        <v>24</v>
      </c>
      <c r="P445" s="57" t="s">
        <v>22</v>
      </c>
      <c r="Q445" s="57" t="s">
        <v>46</v>
      </c>
      <c r="R445" s="149"/>
      <c r="S445" s="66" t="s">
        <v>0</v>
      </c>
      <c r="T445" s="1">
        <v>10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2">
        <f t="shared" si="90"/>
        <v>10</v>
      </c>
      <c r="AB445" s="61">
        <v>2018</v>
      </c>
      <c r="AC445" s="9"/>
      <c r="AD445" s="104"/>
      <c r="AE445" s="104"/>
    </row>
    <row r="446" spans="1:31" ht="15.6" hidden="1" customHeight="1" x14ac:dyDescent="0.25">
      <c r="A446" s="57" t="s">
        <v>18</v>
      </c>
      <c r="B446" s="57" t="s">
        <v>18</v>
      </c>
      <c r="C446" s="57" t="s">
        <v>25</v>
      </c>
      <c r="D446" s="57" t="s">
        <v>18</v>
      </c>
      <c r="E446" s="57" t="s">
        <v>21</v>
      </c>
      <c r="F446" s="57" t="s">
        <v>18</v>
      </c>
      <c r="G446" s="57" t="s">
        <v>22</v>
      </c>
      <c r="H446" s="57" t="s">
        <v>19</v>
      </c>
      <c r="I446" s="57" t="s">
        <v>24</v>
      </c>
      <c r="J446" s="57" t="s">
        <v>18</v>
      </c>
      <c r="K446" s="57" t="s">
        <v>18</v>
      </c>
      <c r="L446" s="57" t="s">
        <v>20</v>
      </c>
      <c r="M446" s="57" t="s">
        <v>37</v>
      </c>
      <c r="N446" s="57" t="s">
        <v>18</v>
      </c>
      <c r="O446" s="57" t="s">
        <v>24</v>
      </c>
      <c r="P446" s="57" t="s">
        <v>22</v>
      </c>
      <c r="Q446" s="57" t="s">
        <v>46</v>
      </c>
      <c r="R446" s="149"/>
      <c r="S446" s="66" t="s">
        <v>0</v>
      </c>
      <c r="T446" s="1">
        <v>141.69999999999999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2">
        <f t="shared" si="90"/>
        <v>141.69999999999999</v>
      </c>
      <c r="AB446" s="61">
        <v>2018</v>
      </c>
      <c r="AC446" s="9"/>
      <c r="AD446" s="104"/>
      <c r="AE446" s="104"/>
    </row>
    <row r="447" spans="1:31" ht="15.6" hidden="1" customHeight="1" x14ac:dyDescent="0.25">
      <c r="A447" s="57" t="s">
        <v>18</v>
      </c>
      <c r="B447" s="57" t="s">
        <v>18</v>
      </c>
      <c r="C447" s="57" t="s">
        <v>25</v>
      </c>
      <c r="D447" s="57" t="s">
        <v>18</v>
      </c>
      <c r="E447" s="57" t="s">
        <v>21</v>
      </c>
      <c r="F447" s="57" t="s">
        <v>18</v>
      </c>
      <c r="G447" s="57" t="s">
        <v>22</v>
      </c>
      <c r="H447" s="57" t="s">
        <v>19</v>
      </c>
      <c r="I447" s="57" t="s">
        <v>24</v>
      </c>
      <c r="J447" s="57" t="s">
        <v>18</v>
      </c>
      <c r="K447" s="57" t="s">
        <v>18</v>
      </c>
      <c r="L447" s="57" t="s">
        <v>20</v>
      </c>
      <c r="M447" s="57" t="s">
        <v>37</v>
      </c>
      <c r="N447" s="57" t="s">
        <v>18</v>
      </c>
      <c r="O447" s="57" t="s">
        <v>24</v>
      </c>
      <c r="P447" s="57" t="s">
        <v>22</v>
      </c>
      <c r="Q447" s="57" t="s">
        <v>39</v>
      </c>
      <c r="R447" s="149"/>
      <c r="S447" s="66" t="s">
        <v>0</v>
      </c>
      <c r="T447" s="1">
        <v>378.1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2">
        <f t="shared" si="90"/>
        <v>378.1</v>
      </c>
      <c r="AB447" s="61">
        <v>2018</v>
      </c>
      <c r="AC447" s="9"/>
      <c r="AD447" s="104"/>
      <c r="AE447" s="104"/>
    </row>
    <row r="448" spans="1:31" ht="27.6" hidden="1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93" t="s">
        <v>262</v>
      </c>
      <c r="S448" s="92" t="s">
        <v>181</v>
      </c>
      <c r="T448" s="3">
        <v>500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/>
      <c r="AA448" s="6">
        <f t="shared" si="90"/>
        <v>500</v>
      </c>
      <c r="AB448" s="41">
        <v>2018</v>
      </c>
      <c r="AC448" s="9"/>
      <c r="AD448" s="104"/>
      <c r="AE448" s="104"/>
    </row>
    <row r="449" spans="1:31" ht="17.25" hidden="1" customHeight="1" x14ac:dyDescent="0.25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149" t="s">
        <v>263</v>
      </c>
      <c r="S449" s="66" t="s">
        <v>0</v>
      </c>
      <c r="T449" s="1">
        <f>SUM(T450:T453)</f>
        <v>811.21499999999992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2">
        <f t="shared" si="90"/>
        <v>811.21499999999992</v>
      </c>
      <c r="AB449" s="61">
        <v>2018</v>
      </c>
      <c r="AC449" s="9"/>
      <c r="AD449" s="104"/>
      <c r="AE449" s="104"/>
    </row>
    <row r="450" spans="1:31" ht="15.6" hidden="1" customHeight="1" x14ac:dyDescent="0.25">
      <c r="A450" s="57" t="s">
        <v>18</v>
      </c>
      <c r="B450" s="57" t="s">
        <v>18</v>
      </c>
      <c r="C450" s="57" t="s">
        <v>25</v>
      </c>
      <c r="D450" s="57" t="s">
        <v>18</v>
      </c>
      <c r="E450" s="57" t="s">
        <v>21</v>
      </c>
      <c r="F450" s="57" t="s">
        <v>18</v>
      </c>
      <c r="G450" s="57" t="s">
        <v>22</v>
      </c>
      <c r="H450" s="57" t="s">
        <v>19</v>
      </c>
      <c r="I450" s="57" t="s">
        <v>24</v>
      </c>
      <c r="J450" s="57" t="s">
        <v>18</v>
      </c>
      <c r="K450" s="57" t="s">
        <v>18</v>
      </c>
      <c r="L450" s="57" t="s">
        <v>20</v>
      </c>
      <c r="M450" s="57" t="s">
        <v>19</v>
      </c>
      <c r="N450" s="57" t="s">
        <v>18</v>
      </c>
      <c r="O450" s="57" t="s">
        <v>24</v>
      </c>
      <c r="P450" s="57" t="s">
        <v>22</v>
      </c>
      <c r="Q450" s="57" t="s">
        <v>45</v>
      </c>
      <c r="R450" s="149"/>
      <c r="S450" s="66" t="s">
        <v>0</v>
      </c>
      <c r="T450" s="1">
        <v>324.51499999999999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62">
        <f t="shared" si="90"/>
        <v>324.51499999999999</v>
      </c>
      <c r="AB450" s="61">
        <v>2018</v>
      </c>
      <c r="AC450" s="9"/>
      <c r="AD450" s="104"/>
      <c r="AE450" s="104"/>
    </row>
    <row r="451" spans="1:31" ht="15.6" hidden="1" customHeight="1" x14ac:dyDescent="0.25">
      <c r="A451" s="57" t="s">
        <v>18</v>
      </c>
      <c r="B451" s="57" t="s">
        <v>18</v>
      </c>
      <c r="C451" s="57" t="s">
        <v>25</v>
      </c>
      <c r="D451" s="57" t="s">
        <v>18</v>
      </c>
      <c r="E451" s="57" t="s">
        <v>21</v>
      </c>
      <c r="F451" s="57" t="s">
        <v>18</v>
      </c>
      <c r="G451" s="57" t="s">
        <v>22</v>
      </c>
      <c r="H451" s="57" t="s">
        <v>19</v>
      </c>
      <c r="I451" s="57" t="s">
        <v>24</v>
      </c>
      <c r="J451" s="57" t="s">
        <v>18</v>
      </c>
      <c r="K451" s="57" t="s">
        <v>18</v>
      </c>
      <c r="L451" s="57" t="s">
        <v>20</v>
      </c>
      <c r="M451" s="57" t="s">
        <v>37</v>
      </c>
      <c r="N451" s="57" t="s">
        <v>18</v>
      </c>
      <c r="O451" s="57" t="s">
        <v>24</v>
      </c>
      <c r="P451" s="57" t="s">
        <v>22</v>
      </c>
      <c r="Q451" s="57" t="s">
        <v>46</v>
      </c>
      <c r="R451" s="149"/>
      <c r="S451" s="66" t="s">
        <v>0</v>
      </c>
      <c r="T451" s="1">
        <v>15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2">
        <f t="shared" si="90"/>
        <v>15</v>
      </c>
      <c r="AB451" s="61">
        <v>2018</v>
      </c>
      <c r="AC451" s="9"/>
      <c r="AD451" s="104"/>
      <c r="AE451" s="104"/>
    </row>
    <row r="452" spans="1:31" ht="15.6" hidden="1" customHeight="1" x14ac:dyDescent="0.25">
      <c r="A452" s="57" t="s">
        <v>18</v>
      </c>
      <c r="B452" s="57" t="s">
        <v>18</v>
      </c>
      <c r="C452" s="57" t="s">
        <v>25</v>
      </c>
      <c r="D452" s="57" t="s">
        <v>18</v>
      </c>
      <c r="E452" s="57" t="s">
        <v>21</v>
      </c>
      <c r="F452" s="57" t="s">
        <v>18</v>
      </c>
      <c r="G452" s="57" t="s">
        <v>22</v>
      </c>
      <c r="H452" s="57" t="s">
        <v>19</v>
      </c>
      <c r="I452" s="57" t="s">
        <v>24</v>
      </c>
      <c r="J452" s="57" t="s">
        <v>18</v>
      </c>
      <c r="K452" s="57" t="s">
        <v>18</v>
      </c>
      <c r="L452" s="57" t="s">
        <v>20</v>
      </c>
      <c r="M452" s="57" t="s">
        <v>37</v>
      </c>
      <c r="N452" s="57" t="s">
        <v>18</v>
      </c>
      <c r="O452" s="57" t="s">
        <v>24</v>
      </c>
      <c r="P452" s="57" t="s">
        <v>22</v>
      </c>
      <c r="Q452" s="57" t="s">
        <v>46</v>
      </c>
      <c r="R452" s="149"/>
      <c r="S452" s="66" t="s">
        <v>0</v>
      </c>
      <c r="T452" s="1">
        <v>170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2">
        <f t="shared" si="90"/>
        <v>170</v>
      </c>
      <c r="AB452" s="61">
        <v>2018</v>
      </c>
      <c r="AC452" s="9"/>
      <c r="AD452" s="104"/>
      <c r="AE452" s="104"/>
    </row>
    <row r="453" spans="1:31" ht="15.6" hidden="1" customHeight="1" x14ac:dyDescent="0.25">
      <c r="A453" s="57" t="s">
        <v>18</v>
      </c>
      <c r="B453" s="57" t="s">
        <v>18</v>
      </c>
      <c r="C453" s="57" t="s">
        <v>25</v>
      </c>
      <c r="D453" s="57" t="s">
        <v>18</v>
      </c>
      <c r="E453" s="57" t="s">
        <v>21</v>
      </c>
      <c r="F453" s="57" t="s">
        <v>18</v>
      </c>
      <c r="G453" s="57" t="s">
        <v>22</v>
      </c>
      <c r="H453" s="57" t="s">
        <v>19</v>
      </c>
      <c r="I453" s="57" t="s">
        <v>24</v>
      </c>
      <c r="J453" s="57" t="s">
        <v>18</v>
      </c>
      <c r="K453" s="57" t="s">
        <v>18</v>
      </c>
      <c r="L453" s="57" t="s">
        <v>20</v>
      </c>
      <c r="M453" s="57" t="s">
        <v>37</v>
      </c>
      <c r="N453" s="57" t="s">
        <v>18</v>
      </c>
      <c r="O453" s="57" t="s">
        <v>24</v>
      </c>
      <c r="P453" s="57" t="s">
        <v>22</v>
      </c>
      <c r="Q453" s="57" t="s">
        <v>39</v>
      </c>
      <c r="R453" s="149"/>
      <c r="S453" s="66" t="s">
        <v>0</v>
      </c>
      <c r="T453" s="1">
        <v>301.7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2">
        <f t="shared" si="90"/>
        <v>301.7</v>
      </c>
      <c r="AB453" s="61">
        <v>2018</v>
      </c>
      <c r="AC453" s="9"/>
      <c r="AD453" s="104"/>
      <c r="AE453" s="104"/>
    </row>
    <row r="454" spans="1:31" ht="31.15" hidden="1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83" t="s">
        <v>264</v>
      </c>
      <c r="S454" s="87" t="s">
        <v>8</v>
      </c>
      <c r="T454" s="44">
        <v>1</v>
      </c>
      <c r="U454" s="44">
        <v>0</v>
      </c>
      <c r="V454" s="44">
        <v>0</v>
      </c>
      <c r="W454" s="44">
        <v>0</v>
      </c>
      <c r="X454" s="44">
        <v>0</v>
      </c>
      <c r="Y454" s="44">
        <v>0</v>
      </c>
      <c r="Z454" s="44"/>
      <c r="AA454" s="52">
        <f t="shared" si="90"/>
        <v>1</v>
      </c>
      <c r="AB454" s="41">
        <v>2018</v>
      </c>
      <c r="AC454" s="9"/>
      <c r="AD454" s="104"/>
      <c r="AE454" s="104"/>
    </row>
    <row r="455" spans="1:31" ht="15.6" hidden="1" customHeight="1" x14ac:dyDescent="0.25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149" t="s">
        <v>265</v>
      </c>
      <c r="S455" s="66" t="s">
        <v>0</v>
      </c>
      <c r="T455" s="1">
        <f>SUM(T456:T459)</f>
        <v>1054.8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62">
        <f t="shared" si="90"/>
        <v>1054.8</v>
      </c>
      <c r="AB455" s="61">
        <v>2018</v>
      </c>
      <c r="AC455" s="9"/>
      <c r="AD455" s="104"/>
      <c r="AE455" s="104"/>
    </row>
    <row r="456" spans="1:31" ht="15.6" hidden="1" customHeight="1" x14ac:dyDescent="0.25">
      <c r="A456" s="57" t="s">
        <v>18</v>
      </c>
      <c r="B456" s="57" t="s">
        <v>18</v>
      </c>
      <c r="C456" s="57" t="s">
        <v>25</v>
      </c>
      <c r="D456" s="57" t="s">
        <v>18</v>
      </c>
      <c r="E456" s="57" t="s">
        <v>21</v>
      </c>
      <c r="F456" s="57" t="s">
        <v>18</v>
      </c>
      <c r="G456" s="57" t="s">
        <v>22</v>
      </c>
      <c r="H456" s="57" t="s">
        <v>19</v>
      </c>
      <c r="I456" s="57" t="s">
        <v>24</v>
      </c>
      <c r="J456" s="57" t="s">
        <v>18</v>
      </c>
      <c r="K456" s="57" t="s">
        <v>18</v>
      </c>
      <c r="L456" s="57" t="s">
        <v>20</v>
      </c>
      <c r="M456" s="57" t="s">
        <v>19</v>
      </c>
      <c r="N456" s="57" t="s">
        <v>18</v>
      </c>
      <c r="O456" s="57" t="s">
        <v>24</v>
      </c>
      <c r="P456" s="57" t="s">
        <v>22</v>
      </c>
      <c r="Q456" s="57" t="s">
        <v>45</v>
      </c>
      <c r="R456" s="149"/>
      <c r="S456" s="66" t="s">
        <v>0</v>
      </c>
      <c r="T456" s="1">
        <v>396.1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62">
        <f t="shared" si="90"/>
        <v>396.1</v>
      </c>
      <c r="AB456" s="61">
        <v>2018</v>
      </c>
      <c r="AC456" s="9"/>
      <c r="AD456" s="104"/>
      <c r="AE456" s="104"/>
    </row>
    <row r="457" spans="1:31" ht="15.6" hidden="1" customHeight="1" x14ac:dyDescent="0.25">
      <c r="A457" s="57" t="s">
        <v>18</v>
      </c>
      <c r="B457" s="57" t="s">
        <v>18</v>
      </c>
      <c r="C457" s="57" t="s">
        <v>25</v>
      </c>
      <c r="D457" s="57" t="s">
        <v>18</v>
      </c>
      <c r="E457" s="57" t="s">
        <v>21</v>
      </c>
      <c r="F457" s="57" t="s">
        <v>18</v>
      </c>
      <c r="G457" s="57" t="s">
        <v>22</v>
      </c>
      <c r="H457" s="57" t="s">
        <v>19</v>
      </c>
      <c r="I457" s="57" t="s">
        <v>24</v>
      </c>
      <c r="J457" s="57" t="s">
        <v>18</v>
      </c>
      <c r="K457" s="57" t="s">
        <v>18</v>
      </c>
      <c r="L457" s="57" t="s">
        <v>20</v>
      </c>
      <c r="M457" s="57" t="s">
        <v>37</v>
      </c>
      <c r="N457" s="57" t="s">
        <v>18</v>
      </c>
      <c r="O457" s="57" t="s">
        <v>24</v>
      </c>
      <c r="P457" s="57" t="s">
        <v>22</v>
      </c>
      <c r="Q457" s="57" t="s">
        <v>46</v>
      </c>
      <c r="R457" s="149"/>
      <c r="S457" s="66" t="s">
        <v>0</v>
      </c>
      <c r="T457" s="1">
        <v>5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62">
        <f t="shared" si="90"/>
        <v>5</v>
      </c>
      <c r="AB457" s="61">
        <v>2018</v>
      </c>
      <c r="AC457" s="9"/>
      <c r="AD457" s="104"/>
      <c r="AE457" s="104"/>
    </row>
    <row r="458" spans="1:31" ht="15.6" hidden="1" customHeight="1" x14ac:dyDescent="0.25">
      <c r="A458" s="57" t="s">
        <v>18</v>
      </c>
      <c r="B458" s="57" t="s">
        <v>18</v>
      </c>
      <c r="C458" s="57" t="s">
        <v>25</v>
      </c>
      <c r="D458" s="57" t="s">
        <v>18</v>
      </c>
      <c r="E458" s="57" t="s">
        <v>21</v>
      </c>
      <c r="F458" s="57" t="s">
        <v>18</v>
      </c>
      <c r="G458" s="57" t="s">
        <v>22</v>
      </c>
      <c r="H458" s="57" t="s">
        <v>19</v>
      </c>
      <c r="I458" s="57" t="s">
        <v>24</v>
      </c>
      <c r="J458" s="57" t="s">
        <v>18</v>
      </c>
      <c r="K458" s="57" t="s">
        <v>18</v>
      </c>
      <c r="L458" s="57" t="s">
        <v>20</v>
      </c>
      <c r="M458" s="57" t="s">
        <v>37</v>
      </c>
      <c r="N458" s="57" t="s">
        <v>18</v>
      </c>
      <c r="O458" s="57" t="s">
        <v>24</v>
      </c>
      <c r="P458" s="57" t="s">
        <v>22</v>
      </c>
      <c r="Q458" s="57" t="s">
        <v>46</v>
      </c>
      <c r="R458" s="149"/>
      <c r="S458" s="66" t="s">
        <v>0</v>
      </c>
      <c r="T458" s="1">
        <v>253.7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62">
        <f t="shared" si="90"/>
        <v>253.7</v>
      </c>
      <c r="AB458" s="61">
        <v>2018</v>
      </c>
      <c r="AC458" s="9"/>
      <c r="AD458" s="104"/>
      <c r="AE458" s="104"/>
    </row>
    <row r="459" spans="1:31" ht="15.6" hidden="1" customHeight="1" x14ac:dyDescent="0.25">
      <c r="A459" s="57" t="s">
        <v>18</v>
      </c>
      <c r="B459" s="57" t="s">
        <v>18</v>
      </c>
      <c r="C459" s="57" t="s">
        <v>25</v>
      </c>
      <c r="D459" s="57" t="s">
        <v>18</v>
      </c>
      <c r="E459" s="57" t="s">
        <v>21</v>
      </c>
      <c r="F459" s="57" t="s">
        <v>18</v>
      </c>
      <c r="G459" s="57" t="s">
        <v>22</v>
      </c>
      <c r="H459" s="57" t="s">
        <v>19</v>
      </c>
      <c r="I459" s="57" t="s">
        <v>24</v>
      </c>
      <c r="J459" s="57" t="s">
        <v>18</v>
      </c>
      <c r="K459" s="57" t="s">
        <v>18</v>
      </c>
      <c r="L459" s="57" t="s">
        <v>20</v>
      </c>
      <c r="M459" s="57" t="s">
        <v>37</v>
      </c>
      <c r="N459" s="57" t="s">
        <v>18</v>
      </c>
      <c r="O459" s="57" t="s">
        <v>24</v>
      </c>
      <c r="P459" s="57" t="s">
        <v>22</v>
      </c>
      <c r="Q459" s="57" t="s">
        <v>39</v>
      </c>
      <c r="R459" s="149"/>
      <c r="S459" s="66" t="s">
        <v>0</v>
      </c>
      <c r="T459" s="1">
        <v>400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62">
        <f t="shared" si="90"/>
        <v>400</v>
      </c>
      <c r="AB459" s="61">
        <v>2018</v>
      </c>
      <c r="AC459" s="9"/>
      <c r="AD459" s="104"/>
      <c r="AE459" s="104"/>
    </row>
    <row r="460" spans="1:31" ht="31.15" hidden="1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83" t="s">
        <v>266</v>
      </c>
      <c r="S460" s="87" t="s">
        <v>8</v>
      </c>
      <c r="T460" s="44">
        <v>1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/>
      <c r="AA460" s="52">
        <f>SUM(T460:Y460)</f>
        <v>1</v>
      </c>
      <c r="AB460" s="41">
        <v>2018</v>
      </c>
      <c r="AC460" s="9"/>
      <c r="AD460" s="104"/>
      <c r="AE460" s="104"/>
    </row>
    <row r="461" spans="1:31" ht="31.5" x14ac:dyDescent="0.25">
      <c r="A461" s="57" t="s">
        <v>18</v>
      </c>
      <c r="B461" s="57" t="s">
        <v>19</v>
      </c>
      <c r="C461" s="57" t="s">
        <v>20</v>
      </c>
      <c r="D461" s="57" t="s">
        <v>18</v>
      </c>
      <c r="E461" s="57" t="s">
        <v>24</v>
      </c>
      <c r="F461" s="57" t="s">
        <v>18</v>
      </c>
      <c r="G461" s="57" t="s">
        <v>43</v>
      </c>
      <c r="H461" s="57" t="s">
        <v>19</v>
      </c>
      <c r="I461" s="57" t="s">
        <v>24</v>
      </c>
      <c r="J461" s="57" t="s">
        <v>18</v>
      </c>
      <c r="K461" s="57" t="s">
        <v>18</v>
      </c>
      <c r="L461" s="57" t="s">
        <v>20</v>
      </c>
      <c r="M461" s="57" t="s">
        <v>37</v>
      </c>
      <c r="N461" s="57" t="s">
        <v>18</v>
      </c>
      <c r="O461" s="57" t="s">
        <v>24</v>
      </c>
      <c r="P461" s="57" t="s">
        <v>22</v>
      </c>
      <c r="Q461" s="57" t="s">
        <v>18</v>
      </c>
      <c r="R461" s="80" t="s">
        <v>140</v>
      </c>
      <c r="S461" s="58" t="s">
        <v>0</v>
      </c>
      <c r="T461" s="1">
        <f>10000-9745-255</f>
        <v>0</v>
      </c>
      <c r="U461" s="1">
        <f>226.8-200-26.8</f>
        <v>0</v>
      </c>
      <c r="V461" s="1">
        <f>8228.3-8228.3</f>
        <v>0</v>
      </c>
      <c r="W461" s="1">
        <v>8228.2999999999993</v>
      </c>
      <c r="X461" s="1">
        <v>8228.2999999999993</v>
      </c>
      <c r="Y461" s="1">
        <v>8228.2999999999993</v>
      </c>
      <c r="Z461" s="1">
        <v>8228.2999999999993</v>
      </c>
      <c r="AA461" s="62">
        <f t="shared" ref="AA461:AA480" si="91">SUM(T461:Z461)</f>
        <v>32913.199999999997</v>
      </c>
      <c r="AB461" s="61">
        <v>2024</v>
      </c>
      <c r="AC461" s="122"/>
      <c r="AD461" s="104"/>
      <c r="AE461" s="104"/>
    </row>
    <row r="462" spans="1:31" ht="47.25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81" t="s">
        <v>326</v>
      </c>
      <c r="S462" s="65" t="s">
        <v>52</v>
      </c>
      <c r="T462" s="3">
        <v>0</v>
      </c>
      <c r="U462" s="3">
        <v>0</v>
      </c>
      <c r="V462" s="3">
        <v>0</v>
      </c>
      <c r="W462" s="3">
        <v>7</v>
      </c>
      <c r="X462" s="3">
        <v>7</v>
      </c>
      <c r="Y462" s="3">
        <v>7</v>
      </c>
      <c r="Z462" s="3">
        <v>7</v>
      </c>
      <c r="AA462" s="6">
        <f t="shared" si="91"/>
        <v>28</v>
      </c>
      <c r="AB462" s="41">
        <v>2024</v>
      </c>
      <c r="AC462" s="132"/>
      <c r="AD462" s="104"/>
      <c r="AE462" s="104"/>
    </row>
    <row r="463" spans="1:31" ht="63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1" t="s">
        <v>327</v>
      </c>
      <c r="S463" s="65" t="s">
        <v>38</v>
      </c>
      <c r="T463" s="44">
        <v>0</v>
      </c>
      <c r="U463" s="44">
        <v>0</v>
      </c>
      <c r="V463" s="44">
        <v>0</v>
      </c>
      <c r="W463" s="44">
        <v>7</v>
      </c>
      <c r="X463" s="44">
        <v>7</v>
      </c>
      <c r="Y463" s="44">
        <v>7</v>
      </c>
      <c r="Z463" s="44">
        <v>7</v>
      </c>
      <c r="AA463" s="52">
        <f t="shared" si="91"/>
        <v>28</v>
      </c>
      <c r="AB463" s="41">
        <v>2024</v>
      </c>
      <c r="AC463" s="132"/>
      <c r="AD463" s="104"/>
      <c r="AE463" s="104"/>
    </row>
    <row r="464" spans="1:31" s="54" customFormat="1" ht="47.25" x14ac:dyDescent="0.25">
      <c r="A464" s="57"/>
      <c r="B464" s="57"/>
      <c r="C464" s="57"/>
      <c r="D464" s="57" t="s">
        <v>18</v>
      </c>
      <c r="E464" s="57" t="s">
        <v>21</v>
      </c>
      <c r="F464" s="57" t="s">
        <v>18</v>
      </c>
      <c r="G464" s="57" t="s">
        <v>22</v>
      </c>
      <c r="H464" s="57" t="s">
        <v>19</v>
      </c>
      <c r="I464" s="57" t="s">
        <v>24</v>
      </c>
      <c r="J464" s="57" t="s">
        <v>18</v>
      </c>
      <c r="K464" s="57" t="s">
        <v>271</v>
      </c>
      <c r="L464" s="57" t="s">
        <v>20</v>
      </c>
      <c r="M464" s="57" t="s">
        <v>21</v>
      </c>
      <c r="N464" s="57" t="s">
        <v>21</v>
      </c>
      <c r="O464" s="57" t="s">
        <v>21</v>
      </c>
      <c r="P464" s="57" t="s">
        <v>21</v>
      </c>
      <c r="Q464" s="57" t="s">
        <v>20</v>
      </c>
      <c r="R464" s="143" t="s">
        <v>340</v>
      </c>
      <c r="S464" s="61" t="s">
        <v>0</v>
      </c>
      <c r="T464" s="62">
        <f>T467+T470+T473+T476</f>
        <v>0</v>
      </c>
      <c r="U464" s="62">
        <f t="shared" ref="U464:X464" si="92">U467+U470+U473+U476</f>
        <v>0</v>
      </c>
      <c r="V464" s="62">
        <f t="shared" si="92"/>
        <v>0</v>
      </c>
      <c r="W464" s="62">
        <f t="shared" si="92"/>
        <v>9662</v>
      </c>
      <c r="X464" s="62">
        <f t="shared" si="92"/>
        <v>9662</v>
      </c>
      <c r="Y464" s="62">
        <f>Y467+Y470+Y473+Y476</f>
        <v>10762</v>
      </c>
      <c r="Z464" s="62">
        <f t="shared" ref="Z464" si="93">Z467+Z470+Z473+Z476</f>
        <v>10762</v>
      </c>
      <c r="AA464" s="62">
        <f t="shared" si="91"/>
        <v>40848</v>
      </c>
      <c r="AB464" s="61">
        <v>2024</v>
      </c>
      <c r="AC464" s="33"/>
      <c r="AD464" s="53"/>
    </row>
    <row r="465" spans="1:30" s="54" customFormat="1" ht="31.5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40" t="s">
        <v>243</v>
      </c>
      <c r="S465" s="55" t="s">
        <v>38</v>
      </c>
      <c r="T465" s="44">
        <f>T468+T471+T474+T477</f>
        <v>0</v>
      </c>
      <c r="U465" s="44">
        <f t="shared" ref="U465:X465" si="94">U468+U471+U474+U477</f>
        <v>0</v>
      </c>
      <c r="V465" s="44">
        <f t="shared" si="94"/>
        <v>0</v>
      </c>
      <c r="W465" s="44">
        <f t="shared" si="94"/>
        <v>30</v>
      </c>
      <c r="X465" s="44">
        <f t="shared" si="94"/>
        <v>30</v>
      </c>
      <c r="Y465" s="44">
        <f t="shared" ref="Y465:Z465" si="95">Y468+Y471+Y474+Y477</f>
        <v>30</v>
      </c>
      <c r="Z465" s="44">
        <f t="shared" si="95"/>
        <v>30</v>
      </c>
      <c r="AA465" s="52">
        <f t="shared" si="91"/>
        <v>120</v>
      </c>
      <c r="AB465" s="146">
        <v>2024</v>
      </c>
      <c r="AC465" s="33"/>
      <c r="AD465" s="53"/>
    </row>
    <row r="466" spans="1:30" s="8" customFormat="1" ht="31.5" x14ac:dyDescent="0.2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64" t="s">
        <v>244</v>
      </c>
      <c r="S466" s="65" t="s">
        <v>52</v>
      </c>
      <c r="T466" s="65">
        <f>T469+T472+T475+T478</f>
        <v>0</v>
      </c>
      <c r="U466" s="65">
        <f>U469+U472+U475+U478</f>
        <v>0</v>
      </c>
      <c r="V466" s="65">
        <f t="shared" ref="V466:X466" si="96">V469+V472+V475+V478</f>
        <v>0</v>
      </c>
      <c r="W466" s="65">
        <f t="shared" si="96"/>
        <v>58.2</v>
      </c>
      <c r="X466" s="65">
        <f t="shared" si="96"/>
        <v>58.2</v>
      </c>
      <c r="Y466" s="65">
        <f t="shared" ref="Y466:Z466" si="97">Y469+Y472+Y475+Y478</f>
        <v>58.2</v>
      </c>
      <c r="Z466" s="65">
        <f t="shared" si="97"/>
        <v>58.2</v>
      </c>
      <c r="AA466" s="56">
        <f t="shared" si="91"/>
        <v>232.8</v>
      </c>
      <c r="AB466" s="146">
        <v>2024</v>
      </c>
      <c r="AC466" s="33"/>
      <c r="AD466" s="63"/>
    </row>
    <row r="467" spans="1:30" s="54" customFormat="1" ht="47.25" x14ac:dyDescent="0.25">
      <c r="A467" s="57" t="s">
        <v>18</v>
      </c>
      <c r="B467" s="57" t="s">
        <v>18</v>
      </c>
      <c r="C467" s="57" t="s">
        <v>22</v>
      </c>
      <c r="D467" s="57" t="s">
        <v>18</v>
      </c>
      <c r="E467" s="57" t="s">
        <v>21</v>
      </c>
      <c r="F467" s="57" t="s">
        <v>18</v>
      </c>
      <c r="G467" s="57" t="s">
        <v>22</v>
      </c>
      <c r="H467" s="57" t="s">
        <v>19</v>
      </c>
      <c r="I467" s="57" t="s">
        <v>24</v>
      </c>
      <c r="J467" s="57" t="s">
        <v>18</v>
      </c>
      <c r="K467" s="57" t="s">
        <v>271</v>
      </c>
      <c r="L467" s="57" t="s">
        <v>20</v>
      </c>
      <c r="M467" s="57" t="s">
        <v>21</v>
      </c>
      <c r="N467" s="57" t="s">
        <v>21</v>
      </c>
      <c r="O467" s="57" t="s">
        <v>21</v>
      </c>
      <c r="P467" s="57" t="s">
        <v>21</v>
      </c>
      <c r="Q467" s="57" t="s">
        <v>20</v>
      </c>
      <c r="R467" s="143" t="s">
        <v>340</v>
      </c>
      <c r="S467" s="58" t="s">
        <v>0</v>
      </c>
      <c r="T467" s="1">
        <v>0</v>
      </c>
      <c r="U467" s="1">
        <f>3100.4-200-2900.4</f>
        <v>0</v>
      </c>
      <c r="V467" s="1">
        <f>2000.4-2000.4</f>
        <v>0</v>
      </c>
      <c r="W467" s="1">
        <v>2000.4</v>
      </c>
      <c r="X467" s="1">
        <v>2000.4</v>
      </c>
      <c r="Y467" s="1">
        <v>3100.4</v>
      </c>
      <c r="Z467" s="1">
        <v>3100.4</v>
      </c>
      <c r="AA467" s="62">
        <f t="shared" si="91"/>
        <v>10201.6</v>
      </c>
      <c r="AB467" s="61">
        <v>2024</v>
      </c>
      <c r="AC467" s="33"/>
      <c r="AD467" s="53"/>
    </row>
    <row r="468" spans="1:30" s="54" customFormat="1" ht="47.25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40" t="s">
        <v>133</v>
      </c>
      <c r="S468" s="55" t="s">
        <v>38</v>
      </c>
      <c r="T468" s="44">
        <v>0</v>
      </c>
      <c r="U468" s="44">
        <v>0</v>
      </c>
      <c r="V468" s="44">
        <f>12-12</f>
        <v>0</v>
      </c>
      <c r="W468" s="44">
        <v>12</v>
      </c>
      <c r="X468" s="44">
        <v>12</v>
      </c>
      <c r="Y468" s="44">
        <v>12</v>
      </c>
      <c r="Z468" s="44">
        <v>12</v>
      </c>
      <c r="AA468" s="52">
        <f t="shared" si="91"/>
        <v>48</v>
      </c>
      <c r="AB468" s="146">
        <v>2024</v>
      </c>
      <c r="AC468" s="33"/>
      <c r="AD468" s="53"/>
    </row>
    <row r="469" spans="1:30" s="54" customFormat="1" ht="47.25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40" t="s">
        <v>134</v>
      </c>
      <c r="S469" s="55" t="s">
        <v>52</v>
      </c>
      <c r="T469" s="3">
        <v>0</v>
      </c>
      <c r="U469" s="3">
        <v>0</v>
      </c>
      <c r="V469" s="3">
        <v>0</v>
      </c>
      <c r="W469" s="3">
        <v>19</v>
      </c>
      <c r="X469" s="3">
        <v>19</v>
      </c>
      <c r="Y469" s="3">
        <v>19</v>
      </c>
      <c r="Z469" s="3">
        <v>19</v>
      </c>
      <c r="AA469" s="56">
        <f t="shared" si="91"/>
        <v>76</v>
      </c>
      <c r="AB469" s="146">
        <v>2024</v>
      </c>
      <c r="AC469" s="33"/>
      <c r="AD469" s="53"/>
    </row>
    <row r="470" spans="1:30" s="54" customFormat="1" ht="47.25" x14ac:dyDescent="0.25">
      <c r="A470" s="57" t="s">
        <v>18</v>
      </c>
      <c r="B470" s="57" t="s">
        <v>18</v>
      </c>
      <c r="C470" s="57" t="s">
        <v>24</v>
      </c>
      <c r="D470" s="57" t="s">
        <v>18</v>
      </c>
      <c r="E470" s="57" t="s">
        <v>21</v>
      </c>
      <c r="F470" s="57" t="s">
        <v>18</v>
      </c>
      <c r="G470" s="57" t="s">
        <v>22</v>
      </c>
      <c r="H470" s="57" t="s">
        <v>19</v>
      </c>
      <c r="I470" s="57" t="s">
        <v>24</v>
      </c>
      <c r="J470" s="57" t="s">
        <v>18</v>
      </c>
      <c r="K470" s="57" t="s">
        <v>271</v>
      </c>
      <c r="L470" s="57" t="s">
        <v>20</v>
      </c>
      <c r="M470" s="57" t="s">
        <v>21</v>
      </c>
      <c r="N470" s="57" t="s">
        <v>21</v>
      </c>
      <c r="O470" s="57" t="s">
        <v>21</v>
      </c>
      <c r="P470" s="57" t="s">
        <v>21</v>
      </c>
      <c r="Q470" s="57" t="s">
        <v>20</v>
      </c>
      <c r="R470" s="143" t="s">
        <v>340</v>
      </c>
      <c r="S470" s="58" t="s">
        <v>0</v>
      </c>
      <c r="T470" s="1">
        <v>0</v>
      </c>
      <c r="U470" s="1">
        <f>2000-100-1900</f>
        <v>0</v>
      </c>
      <c r="V470" s="1">
        <f>2000-2000</f>
        <v>0</v>
      </c>
      <c r="W470" s="1">
        <v>2000</v>
      </c>
      <c r="X470" s="1">
        <v>2000</v>
      </c>
      <c r="Y470" s="1">
        <v>2000</v>
      </c>
      <c r="Z470" s="1">
        <v>2000</v>
      </c>
      <c r="AA470" s="62">
        <f t="shared" si="91"/>
        <v>8000</v>
      </c>
      <c r="AB470" s="61">
        <v>2024</v>
      </c>
      <c r="AC470" s="33"/>
      <c r="AD470" s="53"/>
    </row>
    <row r="471" spans="1:30" s="54" customFormat="1" ht="47.25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40" t="s">
        <v>279</v>
      </c>
      <c r="S471" s="55" t="s">
        <v>38</v>
      </c>
      <c r="T471" s="44">
        <v>0</v>
      </c>
      <c r="U471" s="44">
        <v>0</v>
      </c>
      <c r="V471" s="44">
        <v>0</v>
      </c>
      <c r="W471" s="44">
        <v>9</v>
      </c>
      <c r="X471" s="44">
        <v>9</v>
      </c>
      <c r="Y471" s="44">
        <v>9</v>
      </c>
      <c r="Z471" s="44">
        <v>9</v>
      </c>
      <c r="AA471" s="52">
        <f t="shared" si="91"/>
        <v>36</v>
      </c>
      <c r="AB471" s="146">
        <v>2024</v>
      </c>
      <c r="AC471" s="33"/>
      <c r="AD471" s="53"/>
    </row>
    <row r="472" spans="1:30" s="54" customFormat="1" ht="47.25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40" t="s">
        <v>280</v>
      </c>
      <c r="S472" s="55" t="s">
        <v>52</v>
      </c>
      <c r="T472" s="3">
        <v>0</v>
      </c>
      <c r="U472" s="3">
        <v>0</v>
      </c>
      <c r="V472" s="3">
        <v>0</v>
      </c>
      <c r="W472" s="3">
        <v>14.3</v>
      </c>
      <c r="X472" s="3">
        <v>14.3</v>
      </c>
      <c r="Y472" s="3">
        <v>14.3</v>
      </c>
      <c r="Z472" s="3">
        <v>14.3</v>
      </c>
      <c r="AA472" s="56">
        <f t="shared" si="91"/>
        <v>57.2</v>
      </c>
      <c r="AB472" s="146">
        <v>2024</v>
      </c>
      <c r="AC472" s="125"/>
      <c r="AD472" s="116"/>
    </row>
    <row r="473" spans="1:30" s="54" customFormat="1" ht="47.25" x14ac:dyDescent="0.25">
      <c r="A473" s="57" t="s">
        <v>18</v>
      </c>
      <c r="B473" s="57" t="s">
        <v>18</v>
      </c>
      <c r="C473" s="57" t="s">
        <v>21</v>
      </c>
      <c r="D473" s="57" t="s">
        <v>18</v>
      </c>
      <c r="E473" s="57" t="s">
        <v>21</v>
      </c>
      <c r="F473" s="57" t="s">
        <v>18</v>
      </c>
      <c r="G473" s="57" t="s">
        <v>22</v>
      </c>
      <c r="H473" s="57" t="s">
        <v>19</v>
      </c>
      <c r="I473" s="57" t="s">
        <v>24</v>
      </c>
      <c r="J473" s="57" t="s">
        <v>18</v>
      </c>
      <c r="K473" s="57" t="s">
        <v>271</v>
      </c>
      <c r="L473" s="57" t="s">
        <v>20</v>
      </c>
      <c r="M473" s="57" t="s">
        <v>21</v>
      </c>
      <c r="N473" s="57" t="s">
        <v>21</v>
      </c>
      <c r="O473" s="57" t="s">
        <v>21</v>
      </c>
      <c r="P473" s="57" t="s">
        <v>21</v>
      </c>
      <c r="Q473" s="57" t="s">
        <v>20</v>
      </c>
      <c r="R473" s="143" t="s">
        <v>341</v>
      </c>
      <c r="S473" s="58" t="s">
        <v>0</v>
      </c>
      <c r="T473" s="1">
        <v>0</v>
      </c>
      <c r="U473" s="1">
        <f>2860.5-100-2760.5</f>
        <v>0</v>
      </c>
      <c r="V473" s="1">
        <f>2860.6-2860.6</f>
        <v>0</v>
      </c>
      <c r="W473" s="1">
        <v>2860.5</v>
      </c>
      <c r="X473" s="1">
        <v>2860.5</v>
      </c>
      <c r="Y473" s="1">
        <v>2860.5</v>
      </c>
      <c r="Z473" s="1">
        <v>2860.5</v>
      </c>
      <c r="AA473" s="62">
        <f t="shared" si="91"/>
        <v>11442</v>
      </c>
      <c r="AB473" s="61">
        <v>2024</v>
      </c>
      <c r="AC473" s="33"/>
      <c r="AD473" s="53"/>
    </row>
    <row r="474" spans="1:30" s="54" customFormat="1" ht="47.25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 t="s">
        <v>281</v>
      </c>
      <c r="S474" s="55" t="s">
        <v>38</v>
      </c>
      <c r="T474" s="44">
        <v>0</v>
      </c>
      <c r="U474" s="44">
        <v>0</v>
      </c>
      <c r="V474" s="44">
        <v>0</v>
      </c>
      <c r="W474" s="44">
        <v>2</v>
      </c>
      <c r="X474" s="44">
        <v>2</v>
      </c>
      <c r="Y474" s="44">
        <v>2</v>
      </c>
      <c r="Z474" s="44">
        <v>2</v>
      </c>
      <c r="AA474" s="52">
        <f t="shared" si="91"/>
        <v>8</v>
      </c>
      <c r="AB474" s="146">
        <v>2024</v>
      </c>
      <c r="AC474" s="33"/>
      <c r="AD474" s="53"/>
    </row>
    <row r="475" spans="1:30" s="54" customFormat="1" ht="47.25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40" t="s">
        <v>282</v>
      </c>
      <c r="S475" s="55" t="s">
        <v>52</v>
      </c>
      <c r="T475" s="3">
        <v>0</v>
      </c>
      <c r="U475" s="3">
        <v>0</v>
      </c>
      <c r="V475" s="3">
        <v>0</v>
      </c>
      <c r="W475" s="3">
        <v>13.6</v>
      </c>
      <c r="X475" s="3">
        <v>13.6</v>
      </c>
      <c r="Y475" s="3">
        <v>13.6</v>
      </c>
      <c r="Z475" s="3">
        <v>13.6</v>
      </c>
      <c r="AA475" s="56">
        <f t="shared" si="91"/>
        <v>54.4</v>
      </c>
      <c r="AB475" s="146">
        <v>2024</v>
      </c>
      <c r="AC475" s="33"/>
      <c r="AD475" s="53"/>
    </row>
    <row r="476" spans="1:30" s="54" customFormat="1" ht="47.25" x14ac:dyDescent="0.25">
      <c r="A476" s="57" t="s">
        <v>18</v>
      </c>
      <c r="B476" s="57" t="s">
        <v>18</v>
      </c>
      <c r="C476" s="57" t="s">
        <v>25</v>
      </c>
      <c r="D476" s="57" t="s">
        <v>18</v>
      </c>
      <c r="E476" s="57" t="s">
        <v>21</v>
      </c>
      <c r="F476" s="57" t="s">
        <v>18</v>
      </c>
      <c r="G476" s="57" t="s">
        <v>22</v>
      </c>
      <c r="H476" s="57" t="s">
        <v>19</v>
      </c>
      <c r="I476" s="57" t="s">
        <v>24</v>
      </c>
      <c r="J476" s="57" t="s">
        <v>18</v>
      </c>
      <c r="K476" s="57" t="s">
        <v>271</v>
      </c>
      <c r="L476" s="57" t="s">
        <v>20</v>
      </c>
      <c r="M476" s="57" t="s">
        <v>21</v>
      </c>
      <c r="N476" s="57" t="s">
        <v>21</v>
      </c>
      <c r="O476" s="57" t="s">
        <v>21</v>
      </c>
      <c r="P476" s="57" t="s">
        <v>21</v>
      </c>
      <c r="Q476" s="57" t="s">
        <v>20</v>
      </c>
      <c r="R476" s="143" t="s">
        <v>340</v>
      </c>
      <c r="S476" s="58" t="s">
        <v>0</v>
      </c>
      <c r="T476" s="1">
        <v>0</v>
      </c>
      <c r="U476" s="1">
        <f>2801.1-100-2701.1</f>
        <v>0</v>
      </c>
      <c r="V476" s="1">
        <f>2801.1-2801.1</f>
        <v>0</v>
      </c>
      <c r="W476" s="1">
        <v>2801.1</v>
      </c>
      <c r="X476" s="1">
        <v>2801.1</v>
      </c>
      <c r="Y476" s="1">
        <v>2801.1</v>
      </c>
      <c r="Z476" s="1">
        <v>2801.1</v>
      </c>
      <c r="AA476" s="62">
        <f t="shared" si="91"/>
        <v>11204.4</v>
      </c>
      <c r="AB476" s="61">
        <v>2024</v>
      </c>
      <c r="AC476" s="33"/>
      <c r="AD476" s="53"/>
    </row>
    <row r="477" spans="1:30" s="54" customFormat="1" ht="47.25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40" t="s">
        <v>283</v>
      </c>
      <c r="S477" s="55" t="s">
        <v>38</v>
      </c>
      <c r="T477" s="44">
        <v>0</v>
      </c>
      <c r="U477" s="44">
        <v>0</v>
      </c>
      <c r="V477" s="44">
        <v>0</v>
      </c>
      <c r="W477" s="44">
        <v>7</v>
      </c>
      <c r="X477" s="44">
        <v>7</v>
      </c>
      <c r="Y477" s="44">
        <v>7</v>
      </c>
      <c r="Z477" s="44">
        <v>7</v>
      </c>
      <c r="AA477" s="52">
        <f t="shared" si="91"/>
        <v>28</v>
      </c>
      <c r="AB477" s="146">
        <v>2024</v>
      </c>
      <c r="AC477" s="33"/>
      <c r="AD477" s="53"/>
    </row>
    <row r="478" spans="1:30" s="54" customFormat="1" ht="47.25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40" t="s">
        <v>284</v>
      </c>
      <c r="S478" s="55" t="s">
        <v>52</v>
      </c>
      <c r="T478" s="3">
        <v>0</v>
      </c>
      <c r="U478" s="3">
        <v>0</v>
      </c>
      <c r="V478" s="3">
        <v>0</v>
      </c>
      <c r="W478" s="3">
        <v>11.3</v>
      </c>
      <c r="X478" s="3">
        <v>11.3</v>
      </c>
      <c r="Y478" s="3">
        <v>11.3</v>
      </c>
      <c r="Z478" s="3">
        <v>11.3</v>
      </c>
      <c r="AA478" s="56">
        <f t="shared" si="91"/>
        <v>45.2</v>
      </c>
      <c r="AB478" s="146">
        <v>2024</v>
      </c>
      <c r="AC478" s="33"/>
      <c r="AD478" s="53"/>
    </row>
    <row r="479" spans="1:30" ht="56.4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103" t="s">
        <v>55</v>
      </c>
      <c r="S479" s="50" t="s">
        <v>0</v>
      </c>
      <c r="T479" s="49">
        <f>T483++T493+T496+T517</f>
        <v>7230.2999999999993</v>
      </c>
      <c r="U479" s="49">
        <f>U483++U493+U496+U517+U529+U527+U531+U533</f>
        <v>12898</v>
      </c>
      <c r="V479" s="49">
        <f>V483++V493+V496+V517</f>
        <v>5298</v>
      </c>
      <c r="W479" s="49">
        <f>W483++W493+W496+W517</f>
        <v>5598.2000000000007</v>
      </c>
      <c r="X479" s="49">
        <f>X483++X493+X496+X517</f>
        <v>5598.2000000000007</v>
      </c>
      <c r="Y479" s="49">
        <f>Y483++Y493+Y496+Y517</f>
        <v>8781.3000000000011</v>
      </c>
      <c r="Z479" s="49">
        <f>Z483++Z493+Z496+Z517</f>
        <v>8781.3000000000011</v>
      </c>
      <c r="AA479" s="49">
        <f t="shared" si="91"/>
        <v>54185.3</v>
      </c>
      <c r="AB479" s="50">
        <v>2024</v>
      </c>
      <c r="AC479" s="124"/>
    </row>
    <row r="480" spans="1:30" ht="33.6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51" t="s">
        <v>141</v>
      </c>
      <c r="S480" s="146" t="s">
        <v>31</v>
      </c>
      <c r="T480" s="4">
        <f t="shared" ref="T480:Y480" si="98">T484</f>
        <v>10473.4</v>
      </c>
      <c r="U480" s="4">
        <f t="shared" si="98"/>
        <v>4682.5</v>
      </c>
      <c r="V480" s="4">
        <f t="shared" si="98"/>
        <v>7838.7999999999993</v>
      </c>
      <c r="W480" s="4">
        <f t="shared" si="98"/>
        <v>7867.7</v>
      </c>
      <c r="X480" s="4">
        <f t="shared" si="98"/>
        <v>7867.7</v>
      </c>
      <c r="Y480" s="4">
        <f t="shared" si="98"/>
        <v>7867.7</v>
      </c>
      <c r="Z480" s="4">
        <f t="shared" ref="Z480" si="99">Z484</f>
        <v>7867.7</v>
      </c>
      <c r="AA480" s="5">
        <f t="shared" si="91"/>
        <v>54465.499999999993</v>
      </c>
      <c r="AB480" s="146">
        <v>2024</v>
      </c>
      <c r="AC480" s="33"/>
    </row>
    <row r="481" spans="1:34" ht="31.5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51" t="s">
        <v>142</v>
      </c>
      <c r="S481" s="146" t="s">
        <v>50</v>
      </c>
      <c r="T481" s="44">
        <f t="shared" ref="T481:Y481" si="100">T497</f>
        <v>450</v>
      </c>
      <c r="U481" s="44">
        <f t="shared" si="100"/>
        <v>450</v>
      </c>
      <c r="V481" s="44">
        <f t="shared" si="100"/>
        <v>0</v>
      </c>
      <c r="W481" s="44">
        <f t="shared" si="100"/>
        <v>0</v>
      </c>
      <c r="X481" s="44">
        <f t="shared" si="100"/>
        <v>0</v>
      </c>
      <c r="Y481" s="44">
        <f t="shared" si="100"/>
        <v>433</v>
      </c>
      <c r="Z481" s="44">
        <f t="shared" ref="Z481" si="101">Z497</f>
        <v>433</v>
      </c>
      <c r="AA481" s="45">
        <f t="shared" ref="AA481:AA482" si="102">SUM(T481:Z481)</f>
        <v>1766</v>
      </c>
      <c r="AB481" s="146">
        <v>2024</v>
      </c>
      <c r="AC481" s="33"/>
    </row>
    <row r="482" spans="1:34" ht="49.15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51" t="s">
        <v>143</v>
      </c>
      <c r="S482" s="41" t="s">
        <v>38</v>
      </c>
      <c r="T482" s="44">
        <f t="shared" ref="T482:Y482" si="103">T518</f>
        <v>27</v>
      </c>
      <c r="U482" s="44">
        <f t="shared" si="103"/>
        <v>4</v>
      </c>
      <c r="V482" s="44">
        <f t="shared" si="103"/>
        <v>37</v>
      </c>
      <c r="W482" s="44">
        <f t="shared" si="103"/>
        <v>41</v>
      </c>
      <c r="X482" s="44">
        <f t="shared" si="103"/>
        <v>41</v>
      </c>
      <c r="Y482" s="44">
        <f t="shared" si="103"/>
        <v>41</v>
      </c>
      <c r="Z482" s="44">
        <f t="shared" ref="Z482" si="104">Z518</f>
        <v>41</v>
      </c>
      <c r="AA482" s="45">
        <f t="shared" si="102"/>
        <v>232</v>
      </c>
      <c r="AB482" s="41">
        <v>2024</v>
      </c>
      <c r="AC482" s="33"/>
    </row>
    <row r="483" spans="1:34" ht="36" customHeight="1" x14ac:dyDescent="0.25">
      <c r="A483" s="57"/>
      <c r="B483" s="57"/>
      <c r="C483" s="57"/>
      <c r="D483" s="57" t="s">
        <v>18</v>
      </c>
      <c r="E483" s="57" t="s">
        <v>21</v>
      </c>
      <c r="F483" s="57" t="s">
        <v>18</v>
      </c>
      <c r="G483" s="57" t="s">
        <v>22</v>
      </c>
      <c r="H483" s="57" t="s">
        <v>19</v>
      </c>
      <c r="I483" s="57" t="s">
        <v>24</v>
      </c>
      <c r="J483" s="57" t="s">
        <v>18</v>
      </c>
      <c r="K483" s="57" t="s">
        <v>18</v>
      </c>
      <c r="L483" s="57" t="s">
        <v>22</v>
      </c>
      <c r="M483" s="57" t="s">
        <v>18</v>
      </c>
      <c r="N483" s="57" t="s">
        <v>18</v>
      </c>
      <c r="O483" s="57" t="s">
        <v>18</v>
      </c>
      <c r="P483" s="57" t="s">
        <v>18</v>
      </c>
      <c r="Q483" s="57" t="s">
        <v>18</v>
      </c>
      <c r="R483" s="80" t="s">
        <v>144</v>
      </c>
      <c r="S483" s="61" t="s">
        <v>0</v>
      </c>
      <c r="T483" s="62">
        <f>T485+T489+T487+T491</f>
        <v>5760.9</v>
      </c>
      <c r="U483" s="62">
        <f t="shared" ref="U483:Y483" si="105">U485+U489+U487+U491</f>
        <v>5337.7</v>
      </c>
      <c r="V483" s="62">
        <f t="shared" si="105"/>
        <v>5181.2</v>
      </c>
      <c r="W483" s="62">
        <f t="shared" si="105"/>
        <v>5478.6</v>
      </c>
      <c r="X483" s="62">
        <f t="shared" si="105"/>
        <v>5478.6</v>
      </c>
      <c r="Y483" s="62">
        <f t="shared" si="105"/>
        <v>5478.6</v>
      </c>
      <c r="Z483" s="62">
        <f t="shared" ref="Z483" si="106">Z485+Z489+Z487+Z491</f>
        <v>5478.6</v>
      </c>
      <c r="AA483" s="62">
        <f t="shared" ref="AA483:AA494" si="107">SUM(T483:Z483)</f>
        <v>38194.199999999997</v>
      </c>
      <c r="AB483" s="61">
        <v>2024</v>
      </c>
      <c r="AC483" s="124"/>
    </row>
    <row r="484" spans="1:34" ht="35.450000000000003" customHeight="1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5" t="s">
        <v>141</v>
      </c>
      <c r="S484" s="146" t="s">
        <v>31</v>
      </c>
      <c r="T484" s="3">
        <f>T486+T488+T490+T492</f>
        <v>10473.4</v>
      </c>
      <c r="U484" s="3">
        <f t="shared" ref="U484:Y484" si="108">U486+U488+U490+U492</f>
        <v>4682.5</v>
      </c>
      <c r="V484" s="3">
        <f t="shared" si="108"/>
        <v>7838.7999999999993</v>
      </c>
      <c r="W484" s="3">
        <f t="shared" si="108"/>
        <v>7867.7</v>
      </c>
      <c r="X484" s="3">
        <f>X486+X488+X490+X492</f>
        <v>7867.7</v>
      </c>
      <c r="Y484" s="3">
        <f t="shared" si="108"/>
        <v>7867.7</v>
      </c>
      <c r="Z484" s="3">
        <f t="shared" ref="Z484" si="109">Z486+Z488+Z490+Z492</f>
        <v>7867.7</v>
      </c>
      <c r="AA484" s="5">
        <f t="shared" si="107"/>
        <v>54465.499999999993</v>
      </c>
      <c r="AB484" s="41">
        <v>2024</v>
      </c>
      <c r="AC484" s="127"/>
      <c r="AD484" s="105"/>
    </row>
    <row r="485" spans="1:34" ht="35.450000000000003" customHeight="1" x14ac:dyDescent="0.25">
      <c r="A485" s="57" t="s">
        <v>18</v>
      </c>
      <c r="B485" s="57" t="s">
        <v>18</v>
      </c>
      <c r="C485" s="57" t="s">
        <v>22</v>
      </c>
      <c r="D485" s="57" t="s">
        <v>18</v>
      </c>
      <c r="E485" s="57" t="s">
        <v>21</v>
      </c>
      <c r="F485" s="57" t="s">
        <v>18</v>
      </c>
      <c r="G485" s="57" t="s">
        <v>22</v>
      </c>
      <c r="H485" s="57" t="s">
        <v>19</v>
      </c>
      <c r="I485" s="57" t="s">
        <v>24</v>
      </c>
      <c r="J485" s="57" t="s">
        <v>18</v>
      </c>
      <c r="K485" s="57" t="s">
        <v>18</v>
      </c>
      <c r="L485" s="57" t="s">
        <v>22</v>
      </c>
      <c r="M485" s="57" t="s">
        <v>18</v>
      </c>
      <c r="N485" s="57" t="s">
        <v>18</v>
      </c>
      <c r="O485" s="57" t="s">
        <v>18</v>
      </c>
      <c r="P485" s="57" t="s">
        <v>18</v>
      </c>
      <c r="Q485" s="57" t="s">
        <v>18</v>
      </c>
      <c r="R485" s="80" t="s">
        <v>145</v>
      </c>
      <c r="S485" s="58" t="s">
        <v>0</v>
      </c>
      <c r="T485" s="1">
        <f>3617.1-376.2-40-150</f>
        <v>3050.9</v>
      </c>
      <c r="U485" s="1">
        <f>2917.1-100</f>
        <v>2817.1</v>
      </c>
      <c r="V485" s="1">
        <v>2917.1</v>
      </c>
      <c r="W485" s="1">
        <v>2917.1</v>
      </c>
      <c r="X485" s="1">
        <v>2917.1</v>
      </c>
      <c r="Y485" s="1">
        <v>2917.1</v>
      </c>
      <c r="Z485" s="1">
        <v>2917.1</v>
      </c>
      <c r="AA485" s="62">
        <f t="shared" si="107"/>
        <v>20453.5</v>
      </c>
      <c r="AB485" s="61">
        <v>2024</v>
      </c>
      <c r="AC485" s="123"/>
      <c r="AD485" s="105"/>
      <c r="AE485" s="105"/>
    </row>
    <row r="486" spans="1:34" ht="33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64" t="s">
        <v>146</v>
      </c>
      <c r="S486" s="146" t="s">
        <v>31</v>
      </c>
      <c r="T486" s="3">
        <v>4849</v>
      </c>
      <c r="U486" s="3">
        <f>4307-1114</f>
        <v>3193</v>
      </c>
      <c r="V486" s="3">
        <v>4637.7</v>
      </c>
      <c r="W486" s="3">
        <v>4307</v>
      </c>
      <c r="X486" s="3">
        <v>4307</v>
      </c>
      <c r="Y486" s="3">
        <v>4307</v>
      </c>
      <c r="Z486" s="3">
        <v>4307</v>
      </c>
      <c r="AA486" s="5">
        <f t="shared" si="107"/>
        <v>29907.7</v>
      </c>
      <c r="AB486" s="41">
        <v>2024</v>
      </c>
      <c r="AC486" s="127"/>
      <c r="AD486" s="105"/>
    </row>
    <row r="487" spans="1:34" ht="37.15" customHeight="1" x14ac:dyDescent="0.25">
      <c r="A487" s="57" t="s">
        <v>18</v>
      </c>
      <c r="B487" s="57" t="s">
        <v>18</v>
      </c>
      <c r="C487" s="57" t="s">
        <v>24</v>
      </c>
      <c r="D487" s="57" t="s">
        <v>18</v>
      </c>
      <c r="E487" s="57" t="s">
        <v>21</v>
      </c>
      <c r="F487" s="57" t="s">
        <v>18</v>
      </c>
      <c r="G487" s="57" t="s">
        <v>22</v>
      </c>
      <c r="H487" s="57" t="s">
        <v>19</v>
      </c>
      <c r="I487" s="57" t="s">
        <v>24</v>
      </c>
      <c r="J487" s="57" t="s">
        <v>18</v>
      </c>
      <c r="K487" s="57" t="s">
        <v>18</v>
      </c>
      <c r="L487" s="57" t="s">
        <v>22</v>
      </c>
      <c r="M487" s="57" t="s">
        <v>18</v>
      </c>
      <c r="N487" s="57" t="s">
        <v>18</v>
      </c>
      <c r="O487" s="57" t="s">
        <v>18</v>
      </c>
      <c r="P487" s="57" t="s">
        <v>18</v>
      </c>
      <c r="Q487" s="57" t="s">
        <v>18</v>
      </c>
      <c r="R487" s="80" t="s">
        <v>147</v>
      </c>
      <c r="S487" s="58" t="s">
        <v>0</v>
      </c>
      <c r="T487" s="1">
        <f>398.5-63.6-24.8</f>
        <v>310.09999999999997</v>
      </c>
      <c r="U487" s="1">
        <f>398.5-18.9</f>
        <v>379.6</v>
      </c>
      <c r="V487" s="1">
        <v>398.5</v>
      </c>
      <c r="W487" s="1">
        <v>398.5</v>
      </c>
      <c r="X487" s="1">
        <v>398.5</v>
      </c>
      <c r="Y487" s="1">
        <v>398.5</v>
      </c>
      <c r="Z487" s="1">
        <v>398.5</v>
      </c>
      <c r="AA487" s="62">
        <f t="shared" si="107"/>
        <v>2682.2</v>
      </c>
      <c r="AB487" s="61">
        <v>2024</v>
      </c>
      <c r="AC487" s="123"/>
      <c r="AD487" s="105"/>
    </row>
    <row r="488" spans="1:34" ht="47.25" x14ac:dyDescent="0.2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64" t="s">
        <v>148</v>
      </c>
      <c r="S488" s="146" t="s">
        <v>31</v>
      </c>
      <c r="T488" s="4">
        <v>421.4</v>
      </c>
      <c r="U488" s="4">
        <v>195</v>
      </c>
      <c r="V488" s="4">
        <v>554</v>
      </c>
      <c r="W488" s="4">
        <v>529.70000000000005</v>
      </c>
      <c r="X488" s="4">
        <v>529.70000000000005</v>
      </c>
      <c r="Y488" s="4">
        <v>529.70000000000005</v>
      </c>
      <c r="Z488" s="4">
        <v>529.70000000000005</v>
      </c>
      <c r="AA488" s="5">
        <f t="shared" si="107"/>
        <v>3289.2</v>
      </c>
      <c r="AB488" s="41">
        <v>2024</v>
      </c>
      <c r="AC488" s="127"/>
      <c r="AD488" s="105"/>
    </row>
    <row r="489" spans="1:34" ht="35.450000000000003" customHeight="1" x14ac:dyDescent="0.25">
      <c r="A489" s="57" t="s">
        <v>18</v>
      </c>
      <c r="B489" s="57" t="s">
        <v>18</v>
      </c>
      <c r="C489" s="57" t="s">
        <v>21</v>
      </c>
      <c r="D489" s="57" t="s">
        <v>18</v>
      </c>
      <c r="E489" s="57" t="s">
        <v>21</v>
      </c>
      <c r="F489" s="57" t="s">
        <v>18</v>
      </c>
      <c r="G489" s="57" t="s">
        <v>22</v>
      </c>
      <c r="H489" s="57" t="s">
        <v>19</v>
      </c>
      <c r="I489" s="57" t="s">
        <v>24</v>
      </c>
      <c r="J489" s="57" t="s">
        <v>18</v>
      </c>
      <c r="K489" s="57" t="s">
        <v>18</v>
      </c>
      <c r="L489" s="57" t="s">
        <v>22</v>
      </c>
      <c r="M489" s="57" t="s">
        <v>18</v>
      </c>
      <c r="N489" s="57" t="s">
        <v>18</v>
      </c>
      <c r="O489" s="57" t="s">
        <v>18</v>
      </c>
      <c r="P489" s="57" t="s">
        <v>18</v>
      </c>
      <c r="Q489" s="57" t="s">
        <v>18</v>
      </c>
      <c r="R489" s="72" t="s">
        <v>149</v>
      </c>
      <c r="S489" s="58" t="s">
        <v>0</v>
      </c>
      <c r="T489" s="1">
        <f>1961.8-500-47.8</f>
        <v>1414</v>
      </c>
      <c r="U489" s="1">
        <f>1163-0.4</f>
        <v>1162.5999999999999</v>
      </c>
      <c r="V489" s="1">
        <v>1165.5999999999999</v>
      </c>
      <c r="W489" s="1">
        <v>1163</v>
      </c>
      <c r="X489" s="1">
        <v>1163</v>
      </c>
      <c r="Y489" s="1">
        <v>1163</v>
      </c>
      <c r="Z489" s="1">
        <v>1163</v>
      </c>
      <c r="AA489" s="62">
        <f t="shared" si="107"/>
        <v>8394.2000000000007</v>
      </c>
      <c r="AB489" s="61">
        <v>2024</v>
      </c>
      <c r="AC489" s="123"/>
      <c r="AD489" s="105"/>
    </row>
    <row r="490" spans="1:34" ht="31.5" x14ac:dyDescent="0.2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64" t="s">
        <v>150</v>
      </c>
      <c r="S490" s="146" t="s">
        <v>31</v>
      </c>
      <c r="T490" s="4">
        <v>3300</v>
      </c>
      <c r="U490" s="4">
        <v>1194.5</v>
      </c>
      <c r="V490" s="4">
        <v>1853.1</v>
      </c>
      <c r="W490" s="4">
        <v>1717</v>
      </c>
      <c r="X490" s="4">
        <v>1717</v>
      </c>
      <c r="Y490" s="4">
        <v>1717</v>
      </c>
      <c r="Z490" s="4">
        <v>1717</v>
      </c>
      <c r="AA490" s="5">
        <f t="shared" si="107"/>
        <v>13215.6</v>
      </c>
      <c r="AB490" s="41">
        <v>2024</v>
      </c>
      <c r="AC490" s="127"/>
      <c r="AD490" s="105"/>
    </row>
    <row r="491" spans="1:34" ht="34.15" customHeight="1" x14ac:dyDescent="0.25">
      <c r="A491" s="57" t="s">
        <v>18</v>
      </c>
      <c r="B491" s="57" t="s">
        <v>18</v>
      </c>
      <c r="C491" s="57" t="s">
        <v>25</v>
      </c>
      <c r="D491" s="57" t="s">
        <v>18</v>
      </c>
      <c r="E491" s="57" t="s">
        <v>21</v>
      </c>
      <c r="F491" s="57" t="s">
        <v>18</v>
      </c>
      <c r="G491" s="57" t="s">
        <v>22</v>
      </c>
      <c r="H491" s="57" t="s">
        <v>19</v>
      </c>
      <c r="I491" s="57" t="s">
        <v>24</v>
      </c>
      <c r="J491" s="57" t="s">
        <v>18</v>
      </c>
      <c r="K491" s="57" t="s">
        <v>18</v>
      </c>
      <c r="L491" s="57" t="s">
        <v>22</v>
      </c>
      <c r="M491" s="57" t="s">
        <v>18</v>
      </c>
      <c r="N491" s="57" t="s">
        <v>18</v>
      </c>
      <c r="O491" s="57" t="s">
        <v>18</v>
      </c>
      <c r="P491" s="57" t="s">
        <v>18</v>
      </c>
      <c r="Q491" s="57" t="s">
        <v>18</v>
      </c>
      <c r="R491" s="72" t="s">
        <v>151</v>
      </c>
      <c r="S491" s="58" t="s">
        <v>0</v>
      </c>
      <c r="T491" s="1">
        <f>1502-455.3-60.8</f>
        <v>985.90000000000009</v>
      </c>
      <c r="U491" s="1">
        <f>1000-21.6</f>
        <v>978.4</v>
      </c>
      <c r="V491" s="1">
        <v>700</v>
      </c>
      <c r="W491" s="1">
        <v>1000</v>
      </c>
      <c r="X491" s="1">
        <v>1000</v>
      </c>
      <c r="Y491" s="1">
        <v>1000</v>
      </c>
      <c r="Z491" s="1">
        <v>1000</v>
      </c>
      <c r="AA491" s="62">
        <f t="shared" si="107"/>
        <v>6664.3</v>
      </c>
      <c r="AB491" s="61">
        <v>2024</v>
      </c>
      <c r="AC491" s="124"/>
      <c r="AD491" s="12"/>
    </row>
    <row r="492" spans="1:34" ht="31.5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152</v>
      </c>
      <c r="S492" s="146" t="s">
        <v>31</v>
      </c>
      <c r="T492" s="3">
        <v>1903</v>
      </c>
      <c r="U492" s="3">
        <v>100</v>
      </c>
      <c r="V492" s="3">
        <v>794</v>
      </c>
      <c r="W492" s="3">
        <v>1314</v>
      </c>
      <c r="X492" s="3">
        <v>1314</v>
      </c>
      <c r="Y492" s="3">
        <v>1314</v>
      </c>
      <c r="Z492" s="3">
        <v>1314</v>
      </c>
      <c r="AA492" s="5">
        <f t="shared" si="107"/>
        <v>8053</v>
      </c>
      <c r="AB492" s="41">
        <v>2024</v>
      </c>
      <c r="AC492" s="127"/>
      <c r="AD492" s="105"/>
    </row>
    <row r="493" spans="1:34" ht="47.25" x14ac:dyDescent="0.25">
      <c r="A493" s="57" t="s">
        <v>18</v>
      </c>
      <c r="B493" s="57" t="s">
        <v>24</v>
      </c>
      <c r="C493" s="57" t="s">
        <v>22</v>
      </c>
      <c r="D493" s="57" t="s">
        <v>18</v>
      </c>
      <c r="E493" s="57" t="s">
        <v>21</v>
      </c>
      <c r="F493" s="57" t="s">
        <v>18</v>
      </c>
      <c r="G493" s="57" t="s">
        <v>22</v>
      </c>
      <c r="H493" s="57" t="s">
        <v>19</v>
      </c>
      <c r="I493" s="57" t="s">
        <v>24</v>
      </c>
      <c r="J493" s="57" t="s">
        <v>18</v>
      </c>
      <c r="K493" s="57" t="s">
        <v>18</v>
      </c>
      <c r="L493" s="57" t="s">
        <v>22</v>
      </c>
      <c r="M493" s="57" t="s">
        <v>18</v>
      </c>
      <c r="N493" s="57" t="s">
        <v>18</v>
      </c>
      <c r="O493" s="57" t="s">
        <v>18</v>
      </c>
      <c r="P493" s="57" t="s">
        <v>18</v>
      </c>
      <c r="Q493" s="57" t="s">
        <v>18</v>
      </c>
      <c r="R493" s="144" t="s">
        <v>153</v>
      </c>
      <c r="S493" s="58" t="s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1782</v>
      </c>
      <c r="Z493" s="1">
        <v>1782</v>
      </c>
      <c r="AA493" s="62">
        <f t="shared" si="107"/>
        <v>3564</v>
      </c>
      <c r="AB493" s="61">
        <v>2024</v>
      </c>
      <c r="AC493" s="33"/>
    </row>
    <row r="494" spans="1:34" ht="35.450000000000003" customHeight="1" x14ac:dyDescent="0.2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5" t="s">
        <v>154</v>
      </c>
      <c r="S494" s="146" t="s">
        <v>31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5619</v>
      </c>
      <c r="Z494" s="3">
        <v>5619</v>
      </c>
      <c r="AA494" s="5">
        <f t="shared" si="107"/>
        <v>11238</v>
      </c>
      <c r="AB494" s="41">
        <v>2024</v>
      </c>
      <c r="AC494" s="124"/>
      <c r="AD494" s="118"/>
      <c r="AE494" s="105"/>
      <c r="AF494" s="105"/>
      <c r="AG494" s="105"/>
      <c r="AH494" s="8"/>
    </row>
    <row r="495" spans="1:34" ht="0.75" hidden="1" customHeight="1" x14ac:dyDescent="0.25">
      <c r="A495" s="57"/>
      <c r="B495" s="57"/>
      <c r="C495" s="57"/>
      <c r="D495" s="57" t="s">
        <v>18</v>
      </c>
      <c r="E495" s="57" t="s">
        <v>21</v>
      </c>
      <c r="F495" s="57" t="s">
        <v>18</v>
      </c>
      <c r="G495" s="57" t="s">
        <v>22</v>
      </c>
      <c r="H495" s="57" t="s">
        <v>18</v>
      </c>
      <c r="I495" s="57" t="s">
        <v>23</v>
      </c>
      <c r="J495" s="57" t="s">
        <v>18</v>
      </c>
      <c r="K495" s="57" t="s">
        <v>18</v>
      </c>
      <c r="L495" s="57" t="s">
        <v>20</v>
      </c>
      <c r="M495" s="57" t="s">
        <v>19</v>
      </c>
      <c r="N495" s="57" t="s">
        <v>18</v>
      </c>
      <c r="O495" s="57" t="s">
        <v>21</v>
      </c>
      <c r="P495" s="57" t="s">
        <v>21</v>
      </c>
      <c r="Q495" s="57" t="s">
        <v>18</v>
      </c>
      <c r="R495" s="149" t="s">
        <v>155</v>
      </c>
      <c r="S495" s="58" t="s">
        <v>0</v>
      </c>
      <c r="T495" s="1">
        <f t="shared" ref="T495:Y496" si="110">T498+T501+T504+T507</f>
        <v>1308.2000000000003</v>
      </c>
      <c r="U495" s="1">
        <f t="shared" si="110"/>
        <v>1308.2000000000003</v>
      </c>
      <c r="V495" s="1">
        <f t="shared" si="110"/>
        <v>1308.2000000000003</v>
      </c>
      <c r="W495" s="1">
        <f t="shared" si="110"/>
        <v>1308.2000000000003</v>
      </c>
      <c r="X495" s="1">
        <f t="shared" si="110"/>
        <v>1308.2000000000003</v>
      </c>
      <c r="Y495" s="1">
        <f t="shared" si="110"/>
        <v>1308.2000000000003</v>
      </c>
      <c r="Z495" s="1"/>
      <c r="AA495" s="62">
        <f>T495+U495+V495+W495+X495+Y495</f>
        <v>7849.2000000000025</v>
      </c>
      <c r="AB495" s="76">
        <v>2016</v>
      </c>
      <c r="AC495" s="33"/>
      <c r="AD495" s="12"/>
      <c r="AE495" s="12"/>
    </row>
    <row r="496" spans="1:34" ht="31.15" customHeight="1" x14ac:dyDescent="0.25">
      <c r="A496" s="57"/>
      <c r="B496" s="57"/>
      <c r="C496" s="57"/>
      <c r="D496" s="57" t="s">
        <v>18</v>
      </c>
      <c r="E496" s="57" t="s">
        <v>24</v>
      </c>
      <c r="F496" s="57" t="s">
        <v>18</v>
      </c>
      <c r="G496" s="57" t="s">
        <v>21</v>
      </c>
      <c r="H496" s="57" t="s">
        <v>19</v>
      </c>
      <c r="I496" s="57" t="s">
        <v>24</v>
      </c>
      <c r="J496" s="57" t="s">
        <v>18</v>
      </c>
      <c r="K496" s="57" t="s">
        <v>18</v>
      </c>
      <c r="L496" s="57" t="s">
        <v>22</v>
      </c>
      <c r="M496" s="57" t="s">
        <v>18</v>
      </c>
      <c r="N496" s="57" t="s">
        <v>18</v>
      </c>
      <c r="O496" s="57" t="s">
        <v>18</v>
      </c>
      <c r="P496" s="57" t="s">
        <v>18</v>
      </c>
      <c r="Q496" s="57" t="s">
        <v>18</v>
      </c>
      <c r="R496" s="149"/>
      <c r="S496" s="61" t="s">
        <v>0</v>
      </c>
      <c r="T496" s="62">
        <f t="shared" si="110"/>
        <v>1399.4</v>
      </c>
      <c r="U496" s="62">
        <f>U499+U502+U505+U508+U512</f>
        <v>802.7</v>
      </c>
      <c r="V496" s="62">
        <f t="shared" si="110"/>
        <v>0</v>
      </c>
      <c r="W496" s="62">
        <f t="shared" si="110"/>
        <v>0</v>
      </c>
      <c r="X496" s="62">
        <f t="shared" si="110"/>
        <v>0</v>
      </c>
      <c r="Y496" s="62">
        <f t="shared" si="110"/>
        <v>1401.1000000000001</v>
      </c>
      <c r="Z496" s="62">
        <f t="shared" ref="Z496" si="111">Z499+Z502+Z505+Z508</f>
        <v>1401.1000000000001</v>
      </c>
      <c r="AA496" s="62">
        <f>SUM(T496:Z496)</f>
        <v>5004.3000000000011</v>
      </c>
      <c r="AB496" s="61">
        <v>2024</v>
      </c>
      <c r="AC496" s="124"/>
      <c r="AD496" s="12"/>
      <c r="AE496" s="12"/>
    </row>
    <row r="497" spans="1:31" ht="31.9" customHeight="1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40" t="s">
        <v>156</v>
      </c>
      <c r="S497" s="146" t="s">
        <v>50</v>
      </c>
      <c r="T497" s="44">
        <f t="shared" ref="T497:Y497" si="112">T500+T503+T506+T511</f>
        <v>450</v>
      </c>
      <c r="U497" s="44">
        <f>U500+U503+U506+U511+U516</f>
        <v>450</v>
      </c>
      <c r="V497" s="44">
        <f t="shared" si="112"/>
        <v>0</v>
      </c>
      <c r="W497" s="44">
        <f t="shared" si="112"/>
        <v>0</v>
      </c>
      <c r="X497" s="44">
        <f t="shared" si="112"/>
        <v>0</v>
      </c>
      <c r="Y497" s="44">
        <f t="shared" si="112"/>
        <v>433</v>
      </c>
      <c r="Z497" s="44">
        <f t="shared" ref="Z497" si="113">Z500+Z503+Z506+Z511</f>
        <v>433</v>
      </c>
      <c r="AA497" s="52">
        <f>SUM(T497:Z497)</f>
        <v>1766</v>
      </c>
      <c r="AB497" s="41">
        <v>2024</v>
      </c>
      <c r="AC497" s="33"/>
      <c r="AD497" s="12"/>
      <c r="AE497" s="12"/>
    </row>
    <row r="498" spans="1:31" ht="36.75" hidden="1" customHeight="1" x14ac:dyDescent="0.25">
      <c r="A498" s="57" t="s">
        <v>18</v>
      </c>
      <c r="B498" s="57" t="s">
        <v>18</v>
      </c>
      <c r="C498" s="57" t="s">
        <v>22</v>
      </c>
      <c r="D498" s="57" t="s">
        <v>18</v>
      </c>
      <c r="E498" s="57" t="s">
        <v>21</v>
      </c>
      <c r="F498" s="57" t="s">
        <v>18</v>
      </c>
      <c r="G498" s="57" t="s">
        <v>22</v>
      </c>
      <c r="H498" s="57" t="s">
        <v>18</v>
      </c>
      <c r="I498" s="57" t="s">
        <v>23</v>
      </c>
      <c r="J498" s="57" t="s">
        <v>18</v>
      </c>
      <c r="K498" s="57" t="s">
        <v>18</v>
      </c>
      <c r="L498" s="57" t="s">
        <v>20</v>
      </c>
      <c r="M498" s="57" t="s">
        <v>19</v>
      </c>
      <c r="N498" s="57" t="s">
        <v>18</v>
      </c>
      <c r="O498" s="57" t="s">
        <v>21</v>
      </c>
      <c r="P498" s="57" t="s">
        <v>21</v>
      </c>
      <c r="Q498" s="57" t="s">
        <v>18</v>
      </c>
      <c r="R498" s="150" t="s">
        <v>157</v>
      </c>
      <c r="S498" s="58" t="s">
        <v>0</v>
      </c>
      <c r="T498" s="1">
        <f t="shared" ref="T498:Z498" si="114">472.4-26.9</f>
        <v>445.5</v>
      </c>
      <c r="U498" s="1">
        <f t="shared" si="114"/>
        <v>445.5</v>
      </c>
      <c r="V498" s="1">
        <f t="shared" si="114"/>
        <v>445.5</v>
      </c>
      <c r="W498" s="1">
        <f t="shared" si="114"/>
        <v>445.5</v>
      </c>
      <c r="X498" s="1">
        <f t="shared" si="114"/>
        <v>445.5</v>
      </c>
      <c r="Y498" s="1">
        <f t="shared" si="114"/>
        <v>445.5</v>
      </c>
      <c r="Z498" s="1">
        <f t="shared" si="114"/>
        <v>445.5</v>
      </c>
      <c r="AA498" s="62">
        <f t="shared" ref="AA498:AA507" si="115">T498+U498+V498+W498+X498+Y498</f>
        <v>2673</v>
      </c>
      <c r="AB498" s="41">
        <v>2023</v>
      </c>
      <c r="AC498" s="33"/>
      <c r="AD498" s="12"/>
      <c r="AE498" s="12"/>
    </row>
    <row r="499" spans="1:31" ht="31.15" customHeight="1" x14ac:dyDescent="0.25">
      <c r="A499" s="57" t="s">
        <v>18</v>
      </c>
      <c r="B499" s="57" t="s">
        <v>18</v>
      </c>
      <c r="C499" s="57" t="s">
        <v>22</v>
      </c>
      <c r="D499" s="57" t="s">
        <v>18</v>
      </c>
      <c r="E499" s="57" t="s">
        <v>24</v>
      </c>
      <c r="F499" s="57" t="s">
        <v>18</v>
      </c>
      <c r="G499" s="57" t="s">
        <v>21</v>
      </c>
      <c r="H499" s="57" t="s">
        <v>19</v>
      </c>
      <c r="I499" s="57" t="s">
        <v>24</v>
      </c>
      <c r="J499" s="57" t="s">
        <v>18</v>
      </c>
      <c r="K499" s="57" t="s">
        <v>18</v>
      </c>
      <c r="L499" s="57" t="s">
        <v>22</v>
      </c>
      <c r="M499" s="57" t="s">
        <v>19</v>
      </c>
      <c r="N499" s="57" t="s">
        <v>18</v>
      </c>
      <c r="O499" s="57" t="s">
        <v>21</v>
      </c>
      <c r="P499" s="57" t="s">
        <v>21</v>
      </c>
      <c r="Q499" s="57" t="s">
        <v>18</v>
      </c>
      <c r="R499" s="150"/>
      <c r="S499" s="58" t="s">
        <v>0</v>
      </c>
      <c r="T499" s="1">
        <f t="shared" ref="T499:Z499" si="116">445.5+45.8</f>
        <v>491.3</v>
      </c>
      <c r="U499" s="1">
        <f>445.5+45.8+47.5-415.7</f>
        <v>123.09999999999997</v>
      </c>
      <c r="V499" s="1">
        <f>445.5+45.8+53.6-544.9</f>
        <v>0</v>
      </c>
      <c r="W499" s="1">
        <f t="shared" ref="W499:X499" si="117">445.5+45.8+53.6-544.9</f>
        <v>0</v>
      </c>
      <c r="X499" s="1">
        <f t="shared" si="117"/>
        <v>0</v>
      </c>
      <c r="Y499" s="1">
        <f t="shared" si="116"/>
        <v>491.3</v>
      </c>
      <c r="Z499" s="1">
        <f t="shared" si="116"/>
        <v>491.3</v>
      </c>
      <c r="AA499" s="62">
        <f>SUM(T499:Z499)</f>
        <v>1597</v>
      </c>
      <c r="AB499" s="61">
        <v>2024</v>
      </c>
      <c r="AC499" s="124"/>
    </row>
    <row r="500" spans="1:31" ht="40.9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64" t="s">
        <v>158</v>
      </c>
      <c r="S500" s="146" t="s">
        <v>50</v>
      </c>
      <c r="T500" s="2">
        <v>158</v>
      </c>
      <c r="U500" s="44">
        <v>37</v>
      </c>
      <c r="V500" s="2">
        <f>154-154</f>
        <v>0</v>
      </c>
      <c r="W500" s="2">
        <v>0</v>
      </c>
      <c r="X500" s="2">
        <v>0</v>
      </c>
      <c r="Y500" s="2">
        <v>148</v>
      </c>
      <c r="Z500" s="2">
        <v>148</v>
      </c>
      <c r="AA500" s="52">
        <f>SUM(T500:Z500)</f>
        <v>491</v>
      </c>
      <c r="AB500" s="41">
        <v>2024</v>
      </c>
      <c r="AC500" s="33"/>
    </row>
    <row r="501" spans="1:31" ht="36" hidden="1" customHeight="1" x14ac:dyDescent="0.25">
      <c r="A501" s="57" t="s">
        <v>18</v>
      </c>
      <c r="B501" s="57" t="s">
        <v>18</v>
      </c>
      <c r="C501" s="57" t="s">
        <v>24</v>
      </c>
      <c r="D501" s="57" t="s">
        <v>18</v>
      </c>
      <c r="E501" s="57" t="s">
        <v>21</v>
      </c>
      <c r="F501" s="57" t="s">
        <v>18</v>
      </c>
      <c r="G501" s="57" t="s">
        <v>22</v>
      </c>
      <c r="H501" s="57" t="s">
        <v>18</v>
      </c>
      <c r="I501" s="57" t="s">
        <v>23</v>
      </c>
      <c r="J501" s="57" t="s">
        <v>18</v>
      </c>
      <c r="K501" s="57" t="s">
        <v>18</v>
      </c>
      <c r="L501" s="57" t="s">
        <v>20</v>
      </c>
      <c r="M501" s="57" t="s">
        <v>19</v>
      </c>
      <c r="N501" s="57" t="s">
        <v>18</v>
      </c>
      <c r="O501" s="57" t="s">
        <v>21</v>
      </c>
      <c r="P501" s="57" t="s">
        <v>21</v>
      </c>
      <c r="Q501" s="57" t="s">
        <v>18</v>
      </c>
      <c r="R501" s="152" t="s">
        <v>157</v>
      </c>
      <c r="S501" s="58" t="s">
        <v>0</v>
      </c>
      <c r="T501" s="1">
        <f t="shared" ref="T501:Z501" si="118">302-17.3</f>
        <v>284.7</v>
      </c>
      <c r="U501" s="1">
        <f t="shared" si="118"/>
        <v>284.7</v>
      </c>
      <c r="V501" s="1">
        <f t="shared" si="118"/>
        <v>284.7</v>
      </c>
      <c r="W501" s="1">
        <f t="shared" si="118"/>
        <v>284.7</v>
      </c>
      <c r="X501" s="1">
        <f t="shared" si="118"/>
        <v>284.7</v>
      </c>
      <c r="Y501" s="1">
        <f t="shared" si="118"/>
        <v>284.7</v>
      </c>
      <c r="Z501" s="1">
        <f t="shared" si="118"/>
        <v>284.7</v>
      </c>
      <c r="AA501" s="62">
        <f t="shared" si="115"/>
        <v>1708.2</v>
      </c>
      <c r="AB501" s="41">
        <v>2023</v>
      </c>
      <c r="AC501" s="33"/>
    </row>
    <row r="502" spans="1:31" ht="31.15" customHeight="1" x14ac:dyDescent="0.25">
      <c r="A502" s="57" t="s">
        <v>18</v>
      </c>
      <c r="B502" s="57" t="s">
        <v>18</v>
      </c>
      <c r="C502" s="57" t="s">
        <v>24</v>
      </c>
      <c r="D502" s="57" t="s">
        <v>18</v>
      </c>
      <c r="E502" s="57" t="s">
        <v>24</v>
      </c>
      <c r="F502" s="57" t="s">
        <v>18</v>
      </c>
      <c r="G502" s="57" t="s">
        <v>21</v>
      </c>
      <c r="H502" s="57" t="s">
        <v>19</v>
      </c>
      <c r="I502" s="57" t="s">
        <v>24</v>
      </c>
      <c r="J502" s="57" t="s">
        <v>18</v>
      </c>
      <c r="K502" s="57" t="s">
        <v>18</v>
      </c>
      <c r="L502" s="57" t="s">
        <v>22</v>
      </c>
      <c r="M502" s="57" t="s">
        <v>19</v>
      </c>
      <c r="N502" s="57" t="s">
        <v>18</v>
      </c>
      <c r="O502" s="57" t="s">
        <v>21</v>
      </c>
      <c r="P502" s="57" t="s">
        <v>21</v>
      </c>
      <c r="Q502" s="57" t="s">
        <v>18</v>
      </c>
      <c r="R502" s="152"/>
      <c r="S502" s="58" t="s">
        <v>0</v>
      </c>
      <c r="T502" s="1">
        <f t="shared" ref="T502:Z502" si="119">284.7-29.7</f>
        <v>255</v>
      </c>
      <c r="U502" s="1">
        <f>284.7-29.7+24.6-218.9</f>
        <v>60.700000000000017</v>
      </c>
      <c r="V502" s="1">
        <f>284.7-29.7+27.8-282.8</f>
        <v>0</v>
      </c>
      <c r="W502" s="1">
        <v>0</v>
      </c>
      <c r="X502" s="1">
        <v>0</v>
      </c>
      <c r="Y502" s="1">
        <f t="shared" si="119"/>
        <v>255</v>
      </c>
      <c r="Z502" s="1">
        <f t="shared" si="119"/>
        <v>255</v>
      </c>
      <c r="AA502" s="62">
        <f>SUM(T502:Z502)</f>
        <v>825.7</v>
      </c>
      <c r="AB502" s="61">
        <v>2024</v>
      </c>
      <c r="AC502" s="124"/>
    </row>
    <row r="503" spans="1:31" ht="34.15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64" t="s">
        <v>159</v>
      </c>
      <c r="S503" s="146" t="s">
        <v>50</v>
      </c>
      <c r="T503" s="2">
        <v>82</v>
      </c>
      <c r="U503" s="44">
        <v>20</v>
      </c>
      <c r="V503" s="2">
        <f>82-82</f>
        <v>0</v>
      </c>
      <c r="W503" s="2">
        <v>0</v>
      </c>
      <c r="X503" s="2">
        <v>0</v>
      </c>
      <c r="Y503" s="2">
        <v>82</v>
      </c>
      <c r="Z503" s="2">
        <v>82</v>
      </c>
      <c r="AA503" s="52">
        <f>SUM(T503:Z503)</f>
        <v>266</v>
      </c>
      <c r="AB503" s="41">
        <v>2024</v>
      </c>
      <c r="AC503" s="33"/>
    </row>
    <row r="504" spans="1:31" ht="5.25" hidden="1" customHeight="1" x14ac:dyDescent="0.25">
      <c r="A504" s="57" t="s">
        <v>18</v>
      </c>
      <c r="B504" s="57" t="s">
        <v>18</v>
      </c>
      <c r="C504" s="57" t="s">
        <v>21</v>
      </c>
      <c r="D504" s="57" t="s">
        <v>18</v>
      </c>
      <c r="E504" s="57" t="s">
        <v>21</v>
      </c>
      <c r="F504" s="57" t="s">
        <v>18</v>
      </c>
      <c r="G504" s="57" t="s">
        <v>22</v>
      </c>
      <c r="H504" s="57" t="s">
        <v>18</v>
      </c>
      <c r="I504" s="57" t="s">
        <v>23</v>
      </c>
      <c r="J504" s="57" t="s">
        <v>18</v>
      </c>
      <c r="K504" s="57" t="s">
        <v>18</v>
      </c>
      <c r="L504" s="57" t="s">
        <v>20</v>
      </c>
      <c r="M504" s="57" t="s">
        <v>19</v>
      </c>
      <c r="N504" s="57" t="s">
        <v>18</v>
      </c>
      <c r="O504" s="57" t="s">
        <v>21</v>
      </c>
      <c r="P504" s="57" t="s">
        <v>21</v>
      </c>
      <c r="Q504" s="57" t="s">
        <v>18</v>
      </c>
      <c r="R504" s="152" t="s">
        <v>157</v>
      </c>
      <c r="S504" s="58" t="s">
        <v>0</v>
      </c>
      <c r="T504" s="1">
        <f t="shared" ref="T504:Z504" si="120">398.8-22.7</f>
        <v>376.1</v>
      </c>
      <c r="U504" s="1">
        <f t="shared" si="120"/>
        <v>376.1</v>
      </c>
      <c r="V504" s="1">
        <f t="shared" si="120"/>
        <v>376.1</v>
      </c>
      <c r="W504" s="1">
        <f t="shared" si="120"/>
        <v>376.1</v>
      </c>
      <c r="X504" s="1">
        <f t="shared" si="120"/>
        <v>376.1</v>
      </c>
      <c r="Y504" s="1">
        <f t="shared" si="120"/>
        <v>376.1</v>
      </c>
      <c r="Z504" s="1">
        <f t="shared" si="120"/>
        <v>376.1</v>
      </c>
      <c r="AA504" s="62">
        <f t="shared" si="115"/>
        <v>2256.6</v>
      </c>
      <c r="AB504" s="41">
        <v>2023</v>
      </c>
      <c r="AC504" s="33"/>
    </row>
    <row r="505" spans="1:31" ht="31.15" customHeight="1" x14ac:dyDescent="0.25">
      <c r="A505" s="57" t="s">
        <v>18</v>
      </c>
      <c r="B505" s="57" t="s">
        <v>18</v>
      </c>
      <c r="C505" s="57" t="s">
        <v>21</v>
      </c>
      <c r="D505" s="57" t="s">
        <v>18</v>
      </c>
      <c r="E505" s="57" t="s">
        <v>24</v>
      </c>
      <c r="F505" s="57" t="s">
        <v>18</v>
      </c>
      <c r="G505" s="57" t="s">
        <v>21</v>
      </c>
      <c r="H505" s="57" t="s">
        <v>19</v>
      </c>
      <c r="I505" s="57" t="s">
        <v>24</v>
      </c>
      <c r="J505" s="57" t="s">
        <v>18</v>
      </c>
      <c r="K505" s="57" t="s">
        <v>18</v>
      </c>
      <c r="L505" s="57" t="s">
        <v>22</v>
      </c>
      <c r="M505" s="57" t="s">
        <v>19</v>
      </c>
      <c r="N505" s="57" t="s">
        <v>18</v>
      </c>
      <c r="O505" s="57" t="s">
        <v>21</v>
      </c>
      <c r="P505" s="57" t="s">
        <v>21</v>
      </c>
      <c r="Q505" s="57" t="s">
        <v>18</v>
      </c>
      <c r="R505" s="152"/>
      <c r="S505" s="58" t="s">
        <v>0</v>
      </c>
      <c r="T505" s="1">
        <f t="shared" ref="T505:Z505" si="121">376.1+59.3</f>
        <v>435.40000000000003</v>
      </c>
      <c r="U505" s="1">
        <f>376.1+59.3+42-370.4</f>
        <v>107.00000000000006</v>
      </c>
      <c r="V505" s="1">
        <f>376.1+59.3+47.5-482.9</f>
        <v>0</v>
      </c>
      <c r="W505" s="1">
        <v>0</v>
      </c>
      <c r="X505" s="1">
        <v>0</v>
      </c>
      <c r="Y505" s="1">
        <f t="shared" si="121"/>
        <v>435.40000000000003</v>
      </c>
      <c r="Z505" s="1">
        <f t="shared" si="121"/>
        <v>435.40000000000003</v>
      </c>
      <c r="AA505" s="62">
        <f>SUM(T505:Z505)</f>
        <v>1413.2000000000003</v>
      </c>
      <c r="AB505" s="61">
        <v>2024</v>
      </c>
      <c r="AC505" s="33"/>
    </row>
    <row r="506" spans="1:31" ht="33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64" t="s">
        <v>160</v>
      </c>
      <c r="S506" s="146" t="s">
        <v>50</v>
      </c>
      <c r="T506" s="2">
        <v>140</v>
      </c>
      <c r="U506" s="44">
        <v>31</v>
      </c>
      <c r="V506" s="2">
        <f>141-141</f>
        <v>0</v>
      </c>
      <c r="W506" s="2">
        <v>0</v>
      </c>
      <c r="X506" s="2">
        <v>0</v>
      </c>
      <c r="Y506" s="2">
        <v>135</v>
      </c>
      <c r="Z506" s="2">
        <v>135</v>
      </c>
      <c r="AA506" s="52">
        <f>SUM(T506:Z506)</f>
        <v>441</v>
      </c>
      <c r="AB506" s="41">
        <v>2024</v>
      </c>
      <c r="AC506" s="33"/>
    </row>
    <row r="507" spans="1:31" ht="35.25" hidden="1" customHeight="1" x14ac:dyDescent="0.25">
      <c r="A507" s="57" t="s">
        <v>18</v>
      </c>
      <c r="B507" s="57" t="s">
        <v>18</v>
      </c>
      <c r="C507" s="57" t="s">
        <v>25</v>
      </c>
      <c r="D507" s="57" t="s">
        <v>18</v>
      </c>
      <c r="E507" s="57" t="s">
        <v>21</v>
      </c>
      <c r="F507" s="57" t="s">
        <v>18</v>
      </c>
      <c r="G507" s="57" t="s">
        <v>22</v>
      </c>
      <c r="H507" s="57" t="s">
        <v>18</v>
      </c>
      <c r="I507" s="57" t="s">
        <v>23</v>
      </c>
      <c r="J507" s="57" t="s">
        <v>18</v>
      </c>
      <c r="K507" s="57" t="s">
        <v>18</v>
      </c>
      <c r="L507" s="57" t="s">
        <v>20</v>
      </c>
      <c r="M507" s="57" t="s">
        <v>19</v>
      </c>
      <c r="N507" s="57" t="s">
        <v>18</v>
      </c>
      <c r="O507" s="57" t="s">
        <v>21</v>
      </c>
      <c r="P507" s="57" t="s">
        <v>21</v>
      </c>
      <c r="Q507" s="57" t="s">
        <v>18</v>
      </c>
      <c r="R507" s="152" t="s">
        <v>157</v>
      </c>
      <c r="S507" s="58" t="s">
        <v>0</v>
      </c>
      <c r="T507" s="1">
        <f t="shared" ref="T507:Z507" si="122">214.1-12.2</f>
        <v>201.9</v>
      </c>
      <c r="U507" s="1">
        <f t="shared" si="122"/>
        <v>201.9</v>
      </c>
      <c r="V507" s="1">
        <f t="shared" si="122"/>
        <v>201.9</v>
      </c>
      <c r="W507" s="1">
        <f t="shared" si="122"/>
        <v>201.9</v>
      </c>
      <c r="X507" s="1">
        <f t="shared" si="122"/>
        <v>201.9</v>
      </c>
      <c r="Y507" s="1">
        <f t="shared" si="122"/>
        <v>201.9</v>
      </c>
      <c r="Z507" s="1">
        <f t="shared" si="122"/>
        <v>201.9</v>
      </c>
      <c r="AA507" s="62">
        <f t="shared" si="115"/>
        <v>1211.4000000000001</v>
      </c>
      <c r="AB507" s="41">
        <v>2023</v>
      </c>
    </row>
    <row r="508" spans="1:31" ht="31.15" customHeight="1" x14ac:dyDescent="0.25">
      <c r="A508" s="57" t="s">
        <v>18</v>
      </c>
      <c r="B508" s="57" t="s">
        <v>18</v>
      </c>
      <c r="C508" s="57" t="s">
        <v>25</v>
      </c>
      <c r="D508" s="57" t="s">
        <v>18</v>
      </c>
      <c r="E508" s="57" t="s">
        <v>24</v>
      </c>
      <c r="F508" s="57" t="s">
        <v>18</v>
      </c>
      <c r="G508" s="57" t="s">
        <v>21</v>
      </c>
      <c r="H508" s="57" t="s">
        <v>19</v>
      </c>
      <c r="I508" s="57" t="s">
        <v>24</v>
      </c>
      <c r="J508" s="57" t="s">
        <v>18</v>
      </c>
      <c r="K508" s="57" t="s">
        <v>18</v>
      </c>
      <c r="L508" s="57" t="s">
        <v>22</v>
      </c>
      <c r="M508" s="57" t="s">
        <v>19</v>
      </c>
      <c r="N508" s="57" t="s">
        <v>18</v>
      </c>
      <c r="O508" s="57" t="s">
        <v>21</v>
      </c>
      <c r="P508" s="57" t="s">
        <v>21</v>
      </c>
      <c r="Q508" s="57" t="s">
        <v>18</v>
      </c>
      <c r="R508" s="152"/>
      <c r="S508" s="58" t="s">
        <v>0</v>
      </c>
      <c r="T508" s="1">
        <f>201.9+15.8</f>
        <v>217.70000000000002</v>
      </c>
      <c r="U508" s="1">
        <f>201.9+15.8+1.7+19.3-186.2</f>
        <v>52.500000000000028</v>
      </c>
      <c r="V508" s="1">
        <f>201.9+15.8+1.7+22.1-241.5</f>
        <v>0</v>
      </c>
      <c r="W508" s="1">
        <v>0</v>
      </c>
      <c r="X508" s="1">
        <v>0</v>
      </c>
      <c r="Y508" s="1">
        <f>201.9+15.8+1.7</f>
        <v>219.4</v>
      </c>
      <c r="Z508" s="1">
        <f>201.9+15.8+1.7</f>
        <v>219.4</v>
      </c>
      <c r="AA508" s="62">
        <f>SUM(T508:Z508)</f>
        <v>709</v>
      </c>
      <c r="AB508" s="61">
        <v>2024</v>
      </c>
      <c r="AC508" s="33"/>
    </row>
    <row r="509" spans="1:31" ht="49.5" hidden="1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40" t="s">
        <v>161</v>
      </c>
      <c r="S509" s="41" t="s">
        <v>8</v>
      </c>
      <c r="T509" s="2">
        <v>56</v>
      </c>
      <c r="U509" s="2">
        <v>56</v>
      </c>
      <c r="V509" s="2">
        <v>56</v>
      </c>
      <c r="W509" s="2">
        <v>56</v>
      </c>
      <c r="X509" s="2">
        <v>56</v>
      </c>
      <c r="Y509" s="2">
        <v>56</v>
      </c>
      <c r="Z509" s="2">
        <v>56</v>
      </c>
      <c r="AA509" s="52">
        <f>T509+U509+V509+W509+X509+Y509+Z509</f>
        <v>392</v>
      </c>
      <c r="AB509" s="41">
        <v>2024</v>
      </c>
    </row>
    <row r="510" spans="1:31" ht="64.5" hidden="1" customHeight="1" x14ac:dyDescent="0.25">
      <c r="A510" s="57" t="s">
        <v>18</v>
      </c>
      <c r="B510" s="57" t="s">
        <v>19</v>
      </c>
      <c r="C510" s="57" t="s">
        <v>24</v>
      </c>
      <c r="D510" s="57" t="s">
        <v>18</v>
      </c>
      <c r="E510" s="57" t="s">
        <v>21</v>
      </c>
      <c r="F510" s="57" t="s">
        <v>18</v>
      </c>
      <c r="G510" s="57" t="s">
        <v>22</v>
      </c>
      <c r="H510" s="57" t="s">
        <v>18</v>
      </c>
      <c r="I510" s="57" t="s">
        <v>23</v>
      </c>
      <c r="J510" s="57" t="s">
        <v>18</v>
      </c>
      <c r="K510" s="57" t="s">
        <v>18</v>
      </c>
      <c r="L510" s="57" t="s">
        <v>22</v>
      </c>
      <c r="M510" s="57" t="s">
        <v>18</v>
      </c>
      <c r="N510" s="57" t="s">
        <v>22</v>
      </c>
      <c r="O510" s="57" t="s">
        <v>22</v>
      </c>
      <c r="P510" s="57" t="s">
        <v>18</v>
      </c>
      <c r="Q510" s="57" t="s">
        <v>22</v>
      </c>
      <c r="R510" s="71" t="s">
        <v>162</v>
      </c>
      <c r="S510" s="58" t="s">
        <v>0</v>
      </c>
      <c r="T510" s="1"/>
      <c r="U510" s="1"/>
      <c r="V510" s="1"/>
      <c r="W510" s="1"/>
      <c r="X510" s="1"/>
      <c r="Y510" s="1"/>
      <c r="Z510" s="1"/>
      <c r="AA510" s="62">
        <f>T510+U510+V510+W510+X510+Y510</f>
        <v>0</v>
      </c>
      <c r="AB510" s="146">
        <v>2020</v>
      </c>
    </row>
    <row r="511" spans="1:31" ht="34.15" customHeight="1" x14ac:dyDescent="0.2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64" t="s">
        <v>161</v>
      </c>
      <c r="S511" s="146" t="s">
        <v>50</v>
      </c>
      <c r="T511" s="44">
        <v>70</v>
      </c>
      <c r="U511" s="44">
        <v>15</v>
      </c>
      <c r="V511" s="44">
        <f>68-68</f>
        <v>0</v>
      </c>
      <c r="W511" s="44">
        <v>0</v>
      </c>
      <c r="X511" s="44">
        <v>0</v>
      </c>
      <c r="Y511" s="44">
        <v>68</v>
      </c>
      <c r="Z511" s="44">
        <v>68</v>
      </c>
      <c r="AA511" s="45">
        <f t="shared" ref="AA511:AA516" si="123">SUM(T511:Z511)</f>
        <v>221</v>
      </c>
      <c r="AB511" s="41">
        <v>2024</v>
      </c>
      <c r="AC511" s="33"/>
    </row>
    <row r="512" spans="1:31" s="135" customFormat="1" hidden="1" x14ac:dyDescent="0.25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149" t="s">
        <v>293</v>
      </c>
      <c r="S512" s="58" t="s">
        <v>0</v>
      </c>
      <c r="T512" s="1">
        <v>0</v>
      </c>
      <c r="U512" s="1">
        <f>U513+U514</f>
        <v>459.4</v>
      </c>
      <c r="V512" s="1">
        <v>0</v>
      </c>
      <c r="W512" s="1">
        <v>0</v>
      </c>
      <c r="X512" s="1">
        <v>0</v>
      </c>
      <c r="Y512" s="1">
        <v>0</v>
      </c>
      <c r="Z512" s="1">
        <v>0</v>
      </c>
      <c r="AA512" s="62">
        <f t="shared" si="123"/>
        <v>459.4</v>
      </c>
      <c r="AB512" s="58">
        <v>2019</v>
      </c>
      <c r="AC512" s="134"/>
    </row>
    <row r="513" spans="1:30" s="135" customFormat="1" ht="36.6" customHeight="1" x14ac:dyDescent="0.25">
      <c r="A513" s="57" t="s">
        <v>18</v>
      </c>
      <c r="B513" s="57" t="s">
        <v>19</v>
      </c>
      <c r="C513" s="57" t="s">
        <v>20</v>
      </c>
      <c r="D513" s="57" t="s">
        <v>18</v>
      </c>
      <c r="E513" s="57" t="s">
        <v>24</v>
      </c>
      <c r="F513" s="57" t="s">
        <v>18</v>
      </c>
      <c r="G513" s="57" t="s">
        <v>21</v>
      </c>
      <c r="H513" s="57" t="s">
        <v>19</v>
      </c>
      <c r="I513" s="57" t="s">
        <v>24</v>
      </c>
      <c r="J513" s="57" t="s">
        <v>18</v>
      </c>
      <c r="K513" s="57" t="s">
        <v>18</v>
      </c>
      <c r="L513" s="57" t="s">
        <v>22</v>
      </c>
      <c r="M513" s="57" t="s">
        <v>19</v>
      </c>
      <c r="N513" s="57" t="s">
        <v>18</v>
      </c>
      <c r="O513" s="57" t="s">
        <v>21</v>
      </c>
      <c r="P513" s="57" t="s">
        <v>21</v>
      </c>
      <c r="Q513" s="57" t="s">
        <v>18</v>
      </c>
      <c r="R513" s="149"/>
      <c r="S513" s="58" t="s">
        <v>0</v>
      </c>
      <c r="T513" s="1">
        <v>0</v>
      </c>
      <c r="U513" s="1">
        <v>459.4</v>
      </c>
      <c r="V513" s="1">
        <v>0</v>
      </c>
      <c r="W513" s="1">
        <v>0</v>
      </c>
      <c r="X513" s="1">
        <v>0</v>
      </c>
      <c r="Y513" s="1">
        <v>0</v>
      </c>
      <c r="Z513" s="1">
        <v>0</v>
      </c>
      <c r="AA513" s="62">
        <f t="shared" si="123"/>
        <v>459.4</v>
      </c>
      <c r="AB513" s="58">
        <v>2019</v>
      </c>
      <c r="AC513" s="134"/>
    </row>
    <row r="514" spans="1:30" s="135" customFormat="1" hidden="1" x14ac:dyDescent="0.25">
      <c r="A514" s="57" t="s">
        <v>18</v>
      </c>
      <c r="B514" s="57" t="s">
        <v>19</v>
      </c>
      <c r="C514" s="57" t="s">
        <v>20</v>
      </c>
      <c r="D514" s="57" t="s">
        <v>18</v>
      </c>
      <c r="E514" s="57" t="s">
        <v>24</v>
      </c>
      <c r="F514" s="57" t="s">
        <v>18</v>
      </c>
      <c r="G514" s="57" t="s">
        <v>21</v>
      </c>
      <c r="H514" s="57" t="s">
        <v>19</v>
      </c>
      <c r="I514" s="57" t="s">
        <v>24</v>
      </c>
      <c r="J514" s="57" t="s">
        <v>18</v>
      </c>
      <c r="K514" s="57" t="s">
        <v>18</v>
      </c>
      <c r="L514" s="57" t="s">
        <v>22</v>
      </c>
      <c r="M514" s="57" t="s">
        <v>18</v>
      </c>
      <c r="N514" s="57" t="s">
        <v>18</v>
      </c>
      <c r="O514" s="57" t="s">
        <v>18</v>
      </c>
      <c r="P514" s="57" t="s">
        <v>18</v>
      </c>
      <c r="Q514" s="57" t="s">
        <v>18</v>
      </c>
      <c r="R514" s="149"/>
      <c r="S514" s="58" t="s">
        <v>0</v>
      </c>
      <c r="T514" s="1">
        <v>0</v>
      </c>
      <c r="U514" s="1">
        <v>0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62">
        <f t="shared" si="123"/>
        <v>0</v>
      </c>
      <c r="AB514" s="58">
        <v>2019</v>
      </c>
      <c r="AC514" s="134"/>
    </row>
    <row r="515" spans="1:30" s="75" customFormat="1" ht="47.25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 t="s">
        <v>333</v>
      </c>
      <c r="N515" s="39"/>
      <c r="O515" s="39"/>
      <c r="P515" s="39"/>
      <c r="Q515" s="39"/>
      <c r="R515" s="40" t="s">
        <v>332</v>
      </c>
      <c r="S515" s="41" t="s">
        <v>294</v>
      </c>
      <c r="T515" s="44">
        <v>0</v>
      </c>
      <c r="U515" s="44">
        <v>175</v>
      </c>
      <c r="V515" s="44">
        <v>0</v>
      </c>
      <c r="W515" s="44">
        <v>0</v>
      </c>
      <c r="X515" s="44">
        <v>0</v>
      </c>
      <c r="Y515" s="44">
        <v>0</v>
      </c>
      <c r="Z515" s="44">
        <v>0</v>
      </c>
      <c r="AA515" s="52">
        <f t="shared" si="123"/>
        <v>175</v>
      </c>
      <c r="AB515" s="41">
        <v>2019</v>
      </c>
      <c r="AC515" s="114"/>
    </row>
    <row r="516" spans="1:30" s="75" customFormat="1" ht="31.5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0" t="s">
        <v>313</v>
      </c>
      <c r="S516" s="41" t="s">
        <v>50</v>
      </c>
      <c r="T516" s="44">
        <v>0</v>
      </c>
      <c r="U516" s="44">
        <v>347</v>
      </c>
      <c r="V516" s="44">
        <v>0</v>
      </c>
      <c r="W516" s="44">
        <v>0</v>
      </c>
      <c r="X516" s="44">
        <v>0</v>
      </c>
      <c r="Y516" s="44">
        <v>0</v>
      </c>
      <c r="Z516" s="44">
        <v>0</v>
      </c>
      <c r="AA516" s="52">
        <f t="shared" si="123"/>
        <v>347</v>
      </c>
      <c r="AB516" s="41">
        <v>2019</v>
      </c>
      <c r="AC516" s="114"/>
    </row>
    <row r="517" spans="1:30" ht="47.25" x14ac:dyDescent="0.25">
      <c r="A517" s="57"/>
      <c r="B517" s="57"/>
      <c r="C517" s="57"/>
      <c r="D517" s="57" t="s">
        <v>18</v>
      </c>
      <c r="E517" s="57" t="s">
        <v>21</v>
      </c>
      <c r="F517" s="57" t="s">
        <v>18</v>
      </c>
      <c r="G517" s="57" t="s">
        <v>22</v>
      </c>
      <c r="H517" s="57" t="s">
        <v>19</v>
      </c>
      <c r="I517" s="57" t="s">
        <v>24</v>
      </c>
      <c r="J517" s="57" t="s">
        <v>18</v>
      </c>
      <c r="K517" s="57" t="s">
        <v>18</v>
      </c>
      <c r="L517" s="57" t="s">
        <v>22</v>
      </c>
      <c r="M517" s="57" t="s">
        <v>18</v>
      </c>
      <c r="N517" s="57" t="s">
        <v>18</v>
      </c>
      <c r="O517" s="57" t="s">
        <v>18</v>
      </c>
      <c r="P517" s="57" t="s">
        <v>18</v>
      </c>
      <c r="Q517" s="57" t="s">
        <v>18</v>
      </c>
      <c r="R517" s="71" t="s">
        <v>163</v>
      </c>
      <c r="S517" s="61" t="s">
        <v>0</v>
      </c>
      <c r="T517" s="62">
        <f t="shared" ref="T517:Y518" si="124">T519+T521+T523+T525</f>
        <v>69.999999999999986</v>
      </c>
      <c r="U517" s="62">
        <f t="shared" si="124"/>
        <v>25.8</v>
      </c>
      <c r="V517" s="62">
        <f t="shared" si="124"/>
        <v>116.8</v>
      </c>
      <c r="W517" s="62">
        <f t="shared" si="124"/>
        <v>119.6</v>
      </c>
      <c r="X517" s="62">
        <f t="shared" si="124"/>
        <v>119.6</v>
      </c>
      <c r="Y517" s="62">
        <f t="shared" si="124"/>
        <v>119.6</v>
      </c>
      <c r="Z517" s="62">
        <f t="shared" ref="Z517" si="125">Z519+Z521+Z523+Z525</f>
        <v>119.6</v>
      </c>
      <c r="AA517" s="62">
        <f>AA519+AA521+AA523+AA525</f>
        <v>691</v>
      </c>
      <c r="AB517" s="61">
        <v>2024</v>
      </c>
      <c r="AC517" s="124"/>
    </row>
    <row r="518" spans="1:30" ht="47.25" x14ac:dyDescent="0.2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64" t="s">
        <v>164</v>
      </c>
      <c r="S518" s="146" t="s">
        <v>38</v>
      </c>
      <c r="T518" s="44">
        <f t="shared" si="124"/>
        <v>27</v>
      </c>
      <c r="U518" s="44">
        <f t="shared" si="124"/>
        <v>4</v>
      </c>
      <c r="V518" s="44">
        <f t="shared" si="124"/>
        <v>37</v>
      </c>
      <c r="W518" s="44">
        <f t="shared" si="124"/>
        <v>41</v>
      </c>
      <c r="X518" s="44">
        <f t="shared" si="124"/>
        <v>41</v>
      </c>
      <c r="Y518" s="44">
        <f t="shared" si="124"/>
        <v>41</v>
      </c>
      <c r="Z518" s="44">
        <f>Z520+Z522+Z524+Z526</f>
        <v>41</v>
      </c>
      <c r="AA518" s="52">
        <f>T518+U518+V518+W518+X518+Y518+Z518</f>
        <v>232</v>
      </c>
      <c r="AB518" s="41">
        <v>2024</v>
      </c>
      <c r="AC518" s="33"/>
    </row>
    <row r="519" spans="1:30" ht="47.25" x14ac:dyDescent="0.25">
      <c r="A519" s="57" t="s">
        <v>18</v>
      </c>
      <c r="B519" s="57" t="s">
        <v>18</v>
      </c>
      <c r="C519" s="57" t="s">
        <v>22</v>
      </c>
      <c r="D519" s="57" t="s">
        <v>18</v>
      </c>
      <c r="E519" s="57" t="s">
        <v>21</v>
      </c>
      <c r="F519" s="57" t="s">
        <v>18</v>
      </c>
      <c r="G519" s="57" t="s">
        <v>22</v>
      </c>
      <c r="H519" s="57" t="s">
        <v>19</v>
      </c>
      <c r="I519" s="57" t="s">
        <v>24</v>
      </c>
      <c r="J519" s="57" t="s">
        <v>18</v>
      </c>
      <c r="K519" s="57" t="s">
        <v>18</v>
      </c>
      <c r="L519" s="57" t="s">
        <v>22</v>
      </c>
      <c r="M519" s="57" t="s">
        <v>18</v>
      </c>
      <c r="N519" s="57" t="s">
        <v>18</v>
      </c>
      <c r="O519" s="57" t="s">
        <v>18</v>
      </c>
      <c r="P519" s="57" t="s">
        <v>18</v>
      </c>
      <c r="Q519" s="57" t="s">
        <v>18</v>
      </c>
      <c r="R519" s="71" t="s">
        <v>165</v>
      </c>
      <c r="S519" s="58" t="s">
        <v>0</v>
      </c>
      <c r="T519" s="1">
        <f>18.2-1.8-10.9</f>
        <v>5.4999999999999982</v>
      </c>
      <c r="U519" s="1">
        <v>18.2</v>
      </c>
      <c r="V519" s="1">
        <v>18.2</v>
      </c>
      <c r="W519" s="1">
        <v>18.2</v>
      </c>
      <c r="X519" s="1">
        <v>18.2</v>
      </c>
      <c r="Y519" s="1">
        <v>18.2</v>
      </c>
      <c r="Z519" s="1">
        <v>18.2</v>
      </c>
      <c r="AA519" s="62">
        <f t="shared" ref="AA519:AA526" si="126">T519+U519+V519+W519+X519+Y519+Z519</f>
        <v>114.7</v>
      </c>
      <c r="AB519" s="61">
        <v>2024</v>
      </c>
      <c r="AC519" s="124"/>
    </row>
    <row r="520" spans="1:30" ht="63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64" t="s">
        <v>166</v>
      </c>
      <c r="S520" s="146" t="s">
        <v>38</v>
      </c>
      <c r="T520" s="85">
        <v>2</v>
      </c>
      <c r="U520" s="85">
        <v>2</v>
      </c>
      <c r="V520" s="85">
        <v>6</v>
      </c>
      <c r="W520" s="85">
        <v>6</v>
      </c>
      <c r="X520" s="85">
        <v>6</v>
      </c>
      <c r="Y520" s="85">
        <v>6</v>
      </c>
      <c r="Z520" s="85">
        <v>6</v>
      </c>
      <c r="AA520" s="101">
        <f t="shared" si="126"/>
        <v>34</v>
      </c>
      <c r="AB520" s="41">
        <v>2024</v>
      </c>
      <c r="AC520" s="33"/>
    </row>
    <row r="521" spans="1:30" ht="47.25" x14ac:dyDescent="0.25">
      <c r="A521" s="57" t="s">
        <v>18</v>
      </c>
      <c r="B521" s="57" t="s">
        <v>18</v>
      </c>
      <c r="C521" s="57" t="s">
        <v>24</v>
      </c>
      <c r="D521" s="57" t="s">
        <v>18</v>
      </c>
      <c r="E521" s="57" t="s">
        <v>21</v>
      </c>
      <c r="F521" s="57" t="s">
        <v>18</v>
      </c>
      <c r="G521" s="57" t="s">
        <v>22</v>
      </c>
      <c r="H521" s="57" t="s">
        <v>19</v>
      </c>
      <c r="I521" s="57" t="s">
        <v>24</v>
      </c>
      <c r="J521" s="57" t="s">
        <v>18</v>
      </c>
      <c r="K521" s="57" t="s">
        <v>18</v>
      </c>
      <c r="L521" s="57" t="s">
        <v>22</v>
      </c>
      <c r="M521" s="57" t="s">
        <v>18</v>
      </c>
      <c r="N521" s="57" t="s">
        <v>18</v>
      </c>
      <c r="O521" s="57" t="s">
        <v>18</v>
      </c>
      <c r="P521" s="57" t="s">
        <v>18</v>
      </c>
      <c r="Q521" s="57" t="s">
        <v>18</v>
      </c>
      <c r="R521" s="71" t="s">
        <v>165</v>
      </c>
      <c r="S521" s="58" t="s">
        <v>0</v>
      </c>
      <c r="T521" s="1">
        <f>72.8-43.1</f>
        <v>29.699999999999996</v>
      </c>
      <c r="U521" s="1">
        <f>31.8-31.8</f>
        <v>0</v>
      </c>
      <c r="V521" s="1">
        <v>31.8</v>
      </c>
      <c r="W521" s="1">
        <v>31.8</v>
      </c>
      <c r="X521" s="1">
        <v>31.8</v>
      </c>
      <c r="Y521" s="1">
        <v>31.8</v>
      </c>
      <c r="Z521" s="1">
        <v>31.8</v>
      </c>
      <c r="AA521" s="62">
        <f t="shared" si="126"/>
        <v>188.70000000000002</v>
      </c>
      <c r="AB521" s="61">
        <v>2024</v>
      </c>
      <c r="AC521" s="124"/>
    </row>
    <row r="522" spans="1:30" ht="48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64" t="s">
        <v>167</v>
      </c>
      <c r="S522" s="146" t="s">
        <v>38</v>
      </c>
      <c r="T522" s="85">
        <v>10</v>
      </c>
      <c r="U522" s="85">
        <v>0</v>
      </c>
      <c r="V522" s="85">
        <v>10</v>
      </c>
      <c r="W522" s="85">
        <v>11</v>
      </c>
      <c r="X522" s="85">
        <v>11</v>
      </c>
      <c r="Y522" s="85">
        <v>11</v>
      </c>
      <c r="Z522" s="85">
        <v>11</v>
      </c>
      <c r="AA522" s="101">
        <f t="shared" si="126"/>
        <v>64</v>
      </c>
      <c r="AB522" s="41">
        <v>2024</v>
      </c>
      <c r="AC522" s="33"/>
    </row>
    <row r="523" spans="1:30" ht="47.25" x14ac:dyDescent="0.25">
      <c r="A523" s="57" t="s">
        <v>18</v>
      </c>
      <c r="B523" s="57" t="s">
        <v>18</v>
      </c>
      <c r="C523" s="57" t="s">
        <v>21</v>
      </c>
      <c r="D523" s="57" t="s">
        <v>18</v>
      </c>
      <c r="E523" s="57" t="s">
        <v>21</v>
      </c>
      <c r="F523" s="57" t="s">
        <v>18</v>
      </c>
      <c r="G523" s="57" t="s">
        <v>22</v>
      </c>
      <c r="H523" s="57" t="s">
        <v>19</v>
      </c>
      <c r="I523" s="57" t="s">
        <v>24</v>
      </c>
      <c r="J523" s="57" t="s">
        <v>18</v>
      </c>
      <c r="K523" s="57" t="s">
        <v>18</v>
      </c>
      <c r="L523" s="57" t="s">
        <v>22</v>
      </c>
      <c r="M523" s="57" t="s">
        <v>18</v>
      </c>
      <c r="N523" s="57" t="s">
        <v>18</v>
      </c>
      <c r="O523" s="57" t="s">
        <v>18</v>
      </c>
      <c r="P523" s="57" t="s">
        <v>18</v>
      </c>
      <c r="Q523" s="57" t="s">
        <v>18</v>
      </c>
      <c r="R523" s="71" t="s">
        <v>168</v>
      </c>
      <c r="S523" s="58" t="s">
        <v>0</v>
      </c>
      <c r="T523" s="66">
        <f>36.4-4.4</f>
        <v>32</v>
      </c>
      <c r="U523" s="66">
        <f>34.6-34.6</f>
        <v>0</v>
      </c>
      <c r="V523" s="66">
        <v>31.8</v>
      </c>
      <c r="W523" s="66">
        <v>34.6</v>
      </c>
      <c r="X523" s="66">
        <v>34.6</v>
      </c>
      <c r="Y523" s="66">
        <v>34.6</v>
      </c>
      <c r="Z523" s="66">
        <v>34.6</v>
      </c>
      <c r="AA523" s="62">
        <f t="shared" si="126"/>
        <v>202.2</v>
      </c>
      <c r="AB523" s="61">
        <v>2024</v>
      </c>
      <c r="AC523" s="123"/>
      <c r="AD523" s="105"/>
    </row>
    <row r="524" spans="1:30" ht="63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64" t="s">
        <v>169</v>
      </c>
      <c r="S524" s="146" t="s">
        <v>38</v>
      </c>
      <c r="T524" s="85">
        <v>14</v>
      </c>
      <c r="U524" s="85">
        <v>0</v>
      </c>
      <c r="V524" s="85">
        <v>10</v>
      </c>
      <c r="W524" s="85">
        <v>12</v>
      </c>
      <c r="X524" s="85">
        <v>12</v>
      </c>
      <c r="Y524" s="85">
        <v>12</v>
      </c>
      <c r="Z524" s="85">
        <v>12</v>
      </c>
      <c r="AA524" s="102">
        <f t="shared" si="126"/>
        <v>72</v>
      </c>
      <c r="AB524" s="41">
        <v>2024</v>
      </c>
      <c r="AC524" s="33"/>
    </row>
    <row r="525" spans="1:30" ht="47.25" x14ac:dyDescent="0.25">
      <c r="A525" s="57" t="s">
        <v>18</v>
      </c>
      <c r="B525" s="57" t="s">
        <v>18</v>
      </c>
      <c r="C525" s="57" t="s">
        <v>25</v>
      </c>
      <c r="D525" s="57" t="s">
        <v>18</v>
      </c>
      <c r="E525" s="57" t="s">
        <v>21</v>
      </c>
      <c r="F525" s="57" t="s">
        <v>18</v>
      </c>
      <c r="G525" s="57" t="s">
        <v>22</v>
      </c>
      <c r="H525" s="57" t="s">
        <v>19</v>
      </c>
      <c r="I525" s="57" t="s">
        <v>24</v>
      </c>
      <c r="J525" s="57" t="s">
        <v>18</v>
      </c>
      <c r="K525" s="57" t="s">
        <v>18</v>
      </c>
      <c r="L525" s="57" t="s">
        <v>22</v>
      </c>
      <c r="M525" s="57" t="s">
        <v>18</v>
      </c>
      <c r="N525" s="57" t="s">
        <v>18</v>
      </c>
      <c r="O525" s="57" t="s">
        <v>18</v>
      </c>
      <c r="P525" s="57" t="s">
        <v>18</v>
      </c>
      <c r="Q525" s="57" t="s">
        <v>18</v>
      </c>
      <c r="R525" s="71" t="s">
        <v>165</v>
      </c>
      <c r="S525" s="58" t="s">
        <v>0</v>
      </c>
      <c r="T525" s="1">
        <f>35-32.2</f>
        <v>2.7999999999999972</v>
      </c>
      <c r="U525" s="1">
        <f>35-27.4</f>
        <v>7.6000000000000014</v>
      </c>
      <c r="V525" s="1">
        <v>35</v>
      </c>
      <c r="W525" s="1">
        <v>35</v>
      </c>
      <c r="X525" s="1">
        <v>35</v>
      </c>
      <c r="Y525" s="1">
        <v>35</v>
      </c>
      <c r="Z525" s="1">
        <v>35</v>
      </c>
      <c r="AA525" s="62">
        <f t="shared" si="126"/>
        <v>185.4</v>
      </c>
      <c r="AB525" s="61">
        <v>2024</v>
      </c>
      <c r="AC525" s="33"/>
    </row>
    <row r="526" spans="1:30" ht="63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64" t="s">
        <v>170</v>
      </c>
      <c r="S526" s="146" t="s">
        <v>38</v>
      </c>
      <c r="T526" s="41">
        <v>1</v>
      </c>
      <c r="U526" s="41">
        <v>2</v>
      </c>
      <c r="V526" s="41">
        <v>11</v>
      </c>
      <c r="W526" s="41">
        <v>12</v>
      </c>
      <c r="X526" s="41">
        <v>12</v>
      </c>
      <c r="Y526" s="41">
        <v>12</v>
      </c>
      <c r="Z526" s="41">
        <v>12</v>
      </c>
      <c r="AA526" s="52">
        <f t="shared" si="126"/>
        <v>62</v>
      </c>
      <c r="AB526" s="41">
        <v>2024</v>
      </c>
      <c r="AC526" s="33"/>
    </row>
    <row r="527" spans="1:30" ht="47.25" hidden="1" x14ac:dyDescent="0.25">
      <c r="A527" s="57" t="s">
        <v>18</v>
      </c>
      <c r="B527" s="57" t="s">
        <v>19</v>
      </c>
      <c r="C527" s="57" t="s">
        <v>20</v>
      </c>
      <c r="D527" s="57" t="s">
        <v>18</v>
      </c>
      <c r="E527" s="57" t="s">
        <v>24</v>
      </c>
      <c r="F527" s="57" t="s">
        <v>18</v>
      </c>
      <c r="G527" s="57" t="s">
        <v>21</v>
      </c>
      <c r="H527" s="57" t="s">
        <v>19</v>
      </c>
      <c r="I527" s="57" t="s">
        <v>24</v>
      </c>
      <c r="J527" s="57" t="s">
        <v>18</v>
      </c>
      <c r="K527" s="57" t="s">
        <v>18</v>
      </c>
      <c r="L527" s="57" t="s">
        <v>22</v>
      </c>
      <c r="M527" s="57" t="s">
        <v>18</v>
      </c>
      <c r="N527" s="57" t="s">
        <v>18</v>
      </c>
      <c r="O527" s="57" t="s">
        <v>18</v>
      </c>
      <c r="P527" s="57" t="s">
        <v>18</v>
      </c>
      <c r="Q527" s="57" t="s">
        <v>18</v>
      </c>
      <c r="R527" s="72" t="s">
        <v>314</v>
      </c>
      <c r="S527" s="61" t="s">
        <v>0</v>
      </c>
      <c r="T527" s="62">
        <v>0</v>
      </c>
      <c r="U527" s="62">
        <v>0</v>
      </c>
      <c r="V527" s="62">
        <v>0</v>
      </c>
      <c r="W527" s="62">
        <v>0</v>
      </c>
      <c r="X527" s="62">
        <v>0</v>
      </c>
      <c r="Y527" s="62">
        <v>0</v>
      </c>
      <c r="Z527" s="62">
        <v>0</v>
      </c>
      <c r="AA527" s="62">
        <f>T527+U527+V527+W527+X527+Y527</f>
        <v>0</v>
      </c>
      <c r="AB527" s="61">
        <v>2019</v>
      </c>
      <c r="AC527" s="33"/>
    </row>
    <row r="528" spans="1:30" ht="31.5" hidden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64" t="s">
        <v>179</v>
      </c>
      <c r="S528" s="146" t="s">
        <v>38</v>
      </c>
      <c r="T528" s="41">
        <v>0</v>
      </c>
      <c r="U528" s="41">
        <v>1</v>
      </c>
      <c r="V528" s="41">
        <v>0</v>
      </c>
      <c r="W528" s="41">
        <v>0</v>
      </c>
      <c r="X528" s="41">
        <v>0</v>
      </c>
      <c r="Y528" s="41">
        <v>0</v>
      </c>
      <c r="Z528" s="41">
        <v>0</v>
      </c>
      <c r="AA528" s="52">
        <v>1</v>
      </c>
      <c r="AB528" s="41">
        <v>2019</v>
      </c>
      <c r="AC528" s="33"/>
    </row>
    <row r="529" spans="1:33" ht="78.75" hidden="1" x14ac:dyDescent="0.25">
      <c r="A529" s="57" t="s">
        <v>18</v>
      </c>
      <c r="B529" s="57" t="s">
        <v>19</v>
      </c>
      <c r="C529" s="57" t="s">
        <v>20</v>
      </c>
      <c r="D529" s="57" t="s">
        <v>18</v>
      </c>
      <c r="E529" s="57" t="s">
        <v>24</v>
      </c>
      <c r="F529" s="57" t="s">
        <v>18</v>
      </c>
      <c r="G529" s="57" t="s">
        <v>21</v>
      </c>
      <c r="H529" s="57" t="s">
        <v>19</v>
      </c>
      <c r="I529" s="57" t="s">
        <v>24</v>
      </c>
      <c r="J529" s="57" t="s">
        <v>18</v>
      </c>
      <c r="K529" s="57" t="s">
        <v>18</v>
      </c>
      <c r="L529" s="57" t="s">
        <v>22</v>
      </c>
      <c r="M529" s="57" t="s">
        <v>18</v>
      </c>
      <c r="N529" s="57" t="s">
        <v>18</v>
      </c>
      <c r="O529" s="57" t="s">
        <v>18</v>
      </c>
      <c r="P529" s="57" t="s">
        <v>18</v>
      </c>
      <c r="Q529" s="57" t="s">
        <v>18</v>
      </c>
      <c r="R529" s="72" t="s">
        <v>315</v>
      </c>
      <c r="S529" s="61" t="s">
        <v>0</v>
      </c>
      <c r="T529" s="62">
        <v>0</v>
      </c>
      <c r="U529" s="62">
        <v>0</v>
      </c>
      <c r="V529" s="62">
        <v>0</v>
      </c>
      <c r="W529" s="62">
        <v>0</v>
      </c>
      <c r="X529" s="62">
        <v>0</v>
      </c>
      <c r="Y529" s="62">
        <v>0</v>
      </c>
      <c r="Z529" s="62">
        <v>0</v>
      </c>
      <c r="AA529" s="62">
        <f>T529+U529+V529+W529+X529+Y529</f>
        <v>0</v>
      </c>
      <c r="AB529" s="61">
        <v>2019</v>
      </c>
      <c r="AC529" s="33"/>
    </row>
    <row r="530" spans="1:33" s="75" customFormat="1" ht="33" hidden="1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 t="s">
        <v>316</v>
      </c>
      <c r="S530" s="41" t="s">
        <v>38</v>
      </c>
      <c r="T530" s="41">
        <v>0</v>
      </c>
      <c r="U530" s="41">
        <v>1</v>
      </c>
      <c r="V530" s="41">
        <v>0</v>
      </c>
      <c r="W530" s="41">
        <v>0</v>
      </c>
      <c r="X530" s="41">
        <v>0</v>
      </c>
      <c r="Y530" s="41">
        <v>0</v>
      </c>
      <c r="Z530" s="41">
        <v>0</v>
      </c>
      <c r="AA530" s="52">
        <f>U530</f>
        <v>1</v>
      </c>
      <c r="AB530" s="41">
        <v>2019</v>
      </c>
      <c r="AC530" s="114"/>
    </row>
    <row r="531" spans="1:33" ht="78.75" x14ac:dyDescent="0.25">
      <c r="A531" s="57" t="s">
        <v>18</v>
      </c>
      <c r="B531" s="57" t="s">
        <v>19</v>
      </c>
      <c r="C531" s="57" t="s">
        <v>20</v>
      </c>
      <c r="D531" s="57" t="s">
        <v>18</v>
      </c>
      <c r="E531" s="57" t="s">
        <v>24</v>
      </c>
      <c r="F531" s="57" t="s">
        <v>18</v>
      </c>
      <c r="G531" s="57" t="s">
        <v>21</v>
      </c>
      <c r="H531" s="57" t="s">
        <v>19</v>
      </c>
      <c r="I531" s="57" t="s">
        <v>24</v>
      </c>
      <c r="J531" s="57" t="s">
        <v>18</v>
      </c>
      <c r="K531" s="57" t="s">
        <v>18</v>
      </c>
      <c r="L531" s="57" t="s">
        <v>22</v>
      </c>
      <c r="M531" s="57" t="s">
        <v>19</v>
      </c>
      <c r="N531" s="57" t="s">
        <v>18</v>
      </c>
      <c r="O531" s="57" t="s">
        <v>21</v>
      </c>
      <c r="P531" s="57" t="s">
        <v>21</v>
      </c>
      <c r="Q531" s="57" t="s">
        <v>18</v>
      </c>
      <c r="R531" s="145" t="s">
        <v>328</v>
      </c>
      <c r="S531" s="61" t="s">
        <v>0</v>
      </c>
      <c r="T531" s="62">
        <v>0</v>
      </c>
      <c r="U531" s="62">
        <v>731.8</v>
      </c>
      <c r="V531" s="62">
        <v>0</v>
      </c>
      <c r="W531" s="62">
        <v>0</v>
      </c>
      <c r="X531" s="62">
        <v>0</v>
      </c>
      <c r="Y531" s="62">
        <v>0</v>
      </c>
      <c r="Z531" s="62">
        <v>0</v>
      </c>
      <c r="AA531" s="62">
        <f>T531+U531+V531+W531+X531+Y531</f>
        <v>731.8</v>
      </c>
      <c r="AB531" s="61">
        <v>2019</v>
      </c>
    </row>
    <row r="532" spans="1:33" s="75" customFormat="1" ht="31.5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40" t="s">
        <v>317</v>
      </c>
      <c r="S532" s="41" t="s">
        <v>50</v>
      </c>
      <c r="T532" s="44">
        <v>0</v>
      </c>
      <c r="U532" s="44">
        <v>347</v>
      </c>
      <c r="V532" s="44">
        <v>0</v>
      </c>
      <c r="W532" s="44">
        <v>0</v>
      </c>
      <c r="X532" s="44">
        <v>0</v>
      </c>
      <c r="Y532" s="44">
        <v>0</v>
      </c>
      <c r="Z532" s="44">
        <v>0</v>
      </c>
      <c r="AA532" s="52">
        <f>U532</f>
        <v>347</v>
      </c>
      <c r="AB532" s="76">
        <v>2019</v>
      </c>
      <c r="AC532" s="114"/>
    </row>
    <row r="533" spans="1:33" ht="47.25" x14ac:dyDescent="0.25">
      <c r="A533" s="57" t="s">
        <v>18</v>
      </c>
      <c r="B533" s="57" t="s">
        <v>19</v>
      </c>
      <c r="C533" s="57" t="s">
        <v>20</v>
      </c>
      <c r="D533" s="57" t="s">
        <v>18</v>
      </c>
      <c r="E533" s="57" t="s">
        <v>24</v>
      </c>
      <c r="F533" s="57" t="s">
        <v>18</v>
      </c>
      <c r="G533" s="57" t="s">
        <v>21</v>
      </c>
      <c r="H533" s="57" t="s">
        <v>19</v>
      </c>
      <c r="I533" s="57" t="s">
        <v>24</v>
      </c>
      <c r="J533" s="57" t="s">
        <v>18</v>
      </c>
      <c r="K533" s="57" t="s">
        <v>18</v>
      </c>
      <c r="L533" s="57" t="s">
        <v>22</v>
      </c>
      <c r="M533" s="57" t="s">
        <v>18</v>
      </c>
      <c r="N533" s="57" t="s">
        <v>18</v>
      </c>
      <c r="O533" s="57" t="s">
        <v>18</v>
      </c>
      <c r="P533" s="57" t="s">
        <v>18</v>
      </c>
      <c r="Q533" s="57" t="s">
        <v>18</v>
      </c>
      <c r="R533" s="72" t="s">
        <v>329</v>
      </c>
      <c r="S533" s="61" t="s">
        <v>0</v>
      </c>
      <c r="T533" s="62">
        <v>0</v>
      </c>
      <c r="U533" s="62">
        <v>6000</v>
      </c>
      <c r="V533" s="62">
        <v>0</v>
      </c>
      <c r="W533" s="62">
        <v>0</v>
      </c>
      <c r="X533" s="62">
        <v>0</v>
      </c>
      <c r="Y533" s="62">
        <v>0</v>
      </c>
      <c r="Z533" s="62">
        <v>0</v>
      </c>
      <c r="AA533" s="62">
        <f>T533+U533+V533+W533+X533+Y533</f>
        <v>6000</v>
      </c>
      <c r="AB533" s="61">
        <v>2019</v>
      </c>
      <c r="AC533" s="33"/>
    </row>
    <row r="534" spans="1:33" s="75" customFormat="1" ht="47.25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40" t="s">
        <v>331</v>
      </c>
      <c r="S534" s="41" t="s">
        <v>38</v>
      </c>
      <c r="T534" s="41">
        <v>0</v>
      </c>
      <c r="U534" s="41">
        <v>1</v>
      </c>
      <c r="V534" s="41">
        <v>0</v>
      </c>
      <c r="W534" s="41">
        <v>0</v>
      </c>
      <c r="X534" s="41">
        <v>0</v>
      </c>
      <c r="Y534" s="41">
        <v>0</v>
      </c>
      <c r="Z534" s="41">
        <v>0</v>
      </c>
      <c r="AA534" s="52">
        <f>U534</f>
        <v>1</v>
      </c>
      <c r="AB534" s="41">
        <v>2019</v>
      </c>
      <c r="AC534" s="114"/>
    </row>
    <row r="535" spans="1:33" ht="32.450000000000003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78" t="s">
        <v>54</v>
      </c>
      <c r="S535" s="48" t="s">
        <v>0</v>
      </c>
      <c r="T535" s="49">
        <f t="shared" ref="T535:Y535" si="127">T537+T543+T546</f>
        <v>25348.3</v>
      </c>
      <c r="U535" s="49">
        <f t="shared" si="127"/>
        <v>35592.6</v>
      </c>
      <c r="V535" s="49">
        <f t="shared" si="127"/>
        <v>25348.3</v>
      </c>
      <c r="W535" s="49">
        <f>W537+W543+W546</f>
        <v>21505.8</v>
      </c>
      <c r="X535" s="49">
        <v>21505.8</v>
      </c>
      <c r="Y535" s="49">
        <f t="shared" si="127"/>
        <v>31505.8</v>
      </c>
      <c r="Z535" s="49">
        <f t="shared" ref="Z535" si="128">Z537+Z543+Z546</f>
        <v>21505.8</v>
      </c>
      <c r="AA535" s="49">
        <f>SUM(T535:Z535)</f>
        <v>182312.4</v>
      </c>
      <c r="AB535" s="50">
        <v>2024</v>
      </c>
    </row>
    <row r="536" spans="1:33" ht="37.15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95" t="s">
        <v>171</v>
      </c>
      <c r="S536" s="146" t="s">
        <v>52</v>
      </c>
      <c r="T536" s="141">
        <f>T538</f>
        <v>2225</v>
      </c>
      <c r="U536" s="141">
        <f t="shared" ref="U536:AA536" si="129">U538</f>
        <v>2224</v>
      </c>
      <c r="V536" s="141">
        <f t="shared" si="129"/>
        <v>2224</v>
      </c>
      <c r="W536" s="141">
        <f t="shared" si="129"/>
        <v>2224</v>
      </c>
      <c r="X536" s="141">
        <f t="shared" si="129"/>
        <v>2224</v>
      </c>
      <c r="Y536" s="141">
        <f t="shared" si="129"/>
        <v>2224</v>
      </c>
      <c r="Z536" s="141">
        <f t="shared" ref="Z536" si="130">Z538</f>
        <v>2224</v>
      </c>
      <c r="AA536" s="142">
        <f t="shared" si="129"/>
        <v>2224</v>
      </c>
      <c r="AB536" s="41">
        <v>2024</v>
      </c>
      <c r="AD536" s="12"/>
      <c r="AE536" s="12"/>
      <c r="AF536" s="12"/>
      <c r="AG536" s="12"/>
    </row>
    <row r="537" spans="1:33" ht="31.5" x14ac:dyDescent="0.25">
      <c r="A537" s="57" t="s">
        <v>18</v>
      </c>
      <c r="B537" s="57" t="s">
        <v>19</v>
      </c>
      <c r="C537" s="57" t="s">
        <v>20</v>
      </c>
      <c r="D537" s="57" t="s">
        <v>18</v>
      </c>
      <c r="E537" s="57" t="s">
        <v>21</v>
      </c>
      <c r="F537" s="57" t="s">
        <v>18</v>
      </c>
      <c r="G537" s="57" t="s">
        <v>22</v>
      </c>
      <c r="H537" s="57" t="s">
        <v>19</v>
      </c>
      <c r="I537" s="57" t="s">
        <v>24</v>
      </c>
      <c r="J537" s="57" t="s">
        <v>18</v>
      </c>
      <c r="K537" s="57" t="s">
        <v>18</v>
      </c>
      <c r="L537" s="57" t="s">
        <v>24</v>
      </c>
      <c r="M537" s="57" t="s">
        <v>18</v>
      </c>
      <c r="N537" s="57" t="s">
        <v>18</v>
      </c>
      <c r="O537" s="57" t="s">
        <v>18</v>
      </c>
      <c r="P537" s="57" t="s">
        <v>18</v>
      </c>
      <c r="Q537" s="57" t="s">
        <v>18</v>
      </c>
      <c r="R537" s="145" t="s">
        <v>172</v>
      </c>
      <c r="S537" s="61" t="s">
        <v>0</v>
      </c>
      <c r="T537" s="62">
        <v>25348.3</v>
      </c>
      <c r="U537" s="62">
        <f>23600+1311.8</f>
        <v>24911.8</v>
      </c>
      <c r="V537" s="62">
        <v>25348.3</v>
      </c>
      <c r="W537" s="62">
        <v>21505.8</v>
      </c>
      <c r="X537" s="62">
        <v>21505.8</v>
      </c>
      <c r="Y537" s="62">
        <v>21505.8</v>
      </c>
      <c r="Z537" s="62">
        <v>21505.8</v>
      </c>
      <c r="AA537" s="62">
        <f>SUM(T537:Z537)</f>
        <v>161631.59999999998</v>
      </c>
      <c r="AB537" s="61">
        <v>2024</v>
      </c>
      <c r="AC537" s="33"/>
    </row>
    <row r="538" spans="1:33" ht="34.1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83" t="s">
        <v>173</v>
      </c>
      <c r="S538" s="146" t="s">
        <v>52</v>
      </c>
      <c r="T538" s="2">
        <v>2225</v>
      </c>
      <c r="U538" s="44">
        <v>2224</v>
      </c>
      <c r="V538" s="44">
        <v>2224</v>
      </c>
      <c r="W538" s="44">
        <v>2224</v>
      </c>
      <c r="X538" s="44">
        <v>2224</v>
      </c>
      <c r="Y538" s="44">
        <v>2224</v>
      </c>
      <c r="Z538" s="44">
        <v>2224</v>
      </c>
      <c r="AA538" s="45">
        <f>Z538</f>
        <v>2224</v>
      </c>
      <c r="AB538" s="41">
        <v>2024</v>
      </c>
      <c r="AC538" s="33"/>
    </row>
    <row r="539" spans="1:33" ht="31.5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64" t="s">
        <v>174</v>
      </c>
      <c r="S539" s="146" t="s">
        <v>53</v>
      </c>
      <c r="T539" s="2">
        <v>365</v>
      </c>
      <c r="U539" s="2">
        <v>365</v>
      </c>
      <c r="V539" s="44">
        <v>366</v>
      </c>
      <c r="W539" s="2">
        <v>365</v>
      </c>
      <c r="X539" s="2">
        <v>365</v>
      </c>
      <c r="Y539" s="2">
        <v>365</v>
      </c>
      <c r="Z539" s="2">
        <v>365</v>
      </c>
      <c r="AA539" s="45">
        <f>T539+U539+V539+W539+X539+Y539+Z539</f>
        <v>2556</v>
      </c>
      <c r="AB539" s="41">
        <v>2024</v>
      </c>
      <c r="AC539" s="33"/>
    </row>
    <row r="540" spans="1:33" ht="32.25" customHeight="1" x14ac:dyDescent="0.2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64" t="s">
        <v>175</v>
      </c>
      <c r="S540" s="146" t="s">
        <v>38</v>
      </c>
      <c r="T540" s="2">
        <v>4917</v>
      </c>
      <c r="U540" s="2">
        <v>5400</v>
      </c>
      <c r="V540" s="2">
        <v>4794</v>
      </c>
      <c r="W540" s="2">
        <v>4878</v>
      </c>
      <c r="X540" s="2">
        <v>4878</v>
      </c>
      <c r="Y540" s="2">
        <v>5400</v>
      </c>
      <c r="Z540" s="2">
        <v>5400</v>
      </c>
      <c r="AA540" s="45">
        <f t="shared" ref="AA540:AA542" si="131">T540+U540+V540+W540+X540+Y540+Z540</f>
        <v>35667</v>
      </c>
      <c r="AB540" s="41">
        <v>2024</v>
      </c>
      <c r="AC540" s="127"/>
      <c r="AD540" s="105"/>
    </row>
    <row r="541" spans="1:33" ht="47.25" x14ac:dyDescent="0.2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64" t="s">
        <v>176</v>
      </c>
      <c r="S541" s="146" t="s">
        <v>38</v>
      </c>
      <c r="T541" s="2">
        <v>4598</v>
      </c>
      <c r="U541" s="44">
        <v>4558</v>
      </c>
      <c r="V541" s="2">
        <v>4594</v>
      </c>
      <c r="W541" s="2">
        <v>4558</v>
      </c>
      <c r="X541" s="2">
        <v>4558</v>
      </c>
      <c r="Y541" s="2">
        <v>4558</v>
      </c>
      <c r="Z541" s="2">
        <v>4558</v>
      </c>
      <c r="AA541" s="45">
        <f t="shared" si="131"/>
        <v>31982</v>
      </c>
      <c r="AB541" s="41">
        <v>2024</v>
      </c>
      <c r="AC541" s="127"/>
      <c r="AD541" s="105"/>
    </row>
    <row r="542" spans="1:33" ht="47.25" x14ac:dyDescent="0.2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64" t="s">
        <v>177</v>
      </c>
      <c r="S542" s="146" t="s">
        <v>38</v>
      </c>
      <c r="T542" s="2">
        <v>488</v>
      </c>
      <c r="U542" s="2">
        <v>550</v>
      </c>
      <c r="V542" s="2">
        <v>516</v>
      </c>
      <c r="W542" s="2">
        <v>490</v>
      </c>
      <c r="X542" s="2">
        <v>490</v>
      </c>
      <c r="Y542" s="2">
        <v>550</v>
      </c>
      <c r="Z542" s="2">
        <v>550</v>
      </c>
      <c r="AA542" s="45">
        <f t="shared" si="131"/>
        <v>3634</v>
      </c>
      <c r="AB542" s="41">
        <v>2024</v>
      </c>
      <c r="AC542" s="127"/>
      <c r="AD542" s="105"/>
    </row>
    <row r="543" spans="1:33" ht="39.6" customHeight="1" x14ac:dyDescent="0.25">
      <c r="A543" s="57" t="s">
        <v>18</v>
      </c>
      <c r="B543" s="57" t="s">
        <v>19</v>
      </c>
      <c r="C543" s="57" t="s">
        <v>20</v>
      </c>
      <c r="D543" s="57" t="s">
        <v>18</v>
      </c>
      <c r="E543" s="57" t="s">
        <v>21</v>
      </c>
      <c r="F543" s="57" t="s">
        <v>18</v>
      </c>
      <c r="G543" s="57" t="s">
        <v>22</v>
      </c>
      <c r="H543" s="57" t="s">
        <v>19</v>
      </c>
      <c r="I543" s="57" t="s">
        <v>24</v>
      </c>
      <c r="J543" s="57" t="s">
        <v>18</v>
      </c>
      <c r="K543" s="57" t="s">
        <v>18</v>
      </c>
      <c r="L543" s="57" t="s">
        <v>24</v>
      </c>
      <c r="M543" s="57" t="s">
        <v>18</v>
      </c>
      <c r="N543" s="57" t="s">
        <v>18</v>
      </c>
      <c r="O543" s="57" t="s">
        <v>18</v>
      </c>
      <c r="P543" s="57" t="s">
        <v>18</v>
      </c>
      <c r="Q543" s="57" t="s">
        <v>19</v>
      </c>
      <c r="R543" s="145" t="s">
        <v>178</v>
      </c>
      <c r="S543" s="61" t="s">
        <v>0</v>
      </c>
      <c r="T543" s="62">
        <v>0</v>
      </c>
      <c r="U543" s="62">
        <f>4000-4000</f>
        <v>0</v>
      </c>
      <c r="V543" s="62">
        <v>0</v>
      </c>
      <c r="W543" s="62">
        <v>0</v>
      </c>
      <c r="X543" s="62">
        <v>0</v>
      </c>
      <c r="Y543" s="62">
        <v>10000</v>
      </c>
      <c r="Z543" s="62">
        <v>0</v>
      </c>
      <c r="AA543" s="62">
        <f>T543+U543+V543+W543+X543+Y543</f>
        <v>10000</v>
      </c>
      <c r="AB543" s="61">
        <v>2023</v>
      </c>
      <c r="AC543" s="33"/>
      <c r="AD543" s="105"/>
    </row>
    <row r="544" spans="1:33" ht="33.6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40" t="s">
        <v>290</v>
      </c>
      <c r="S544" s="41" t="s">
        <v>38</v>
      </c>
      <c r="T544" s="44">
        <v>0</v>
      </c>
      <c r="U544" s="44">
        <v>0</v>
      </c>
      <c r="V544" s="44">
        <v>0</v>
      </c>
      <c r="W544" s="44">
        <v>0</v>
      </c>
      <c r="X544" s="44">
        <v>0</v>
      </c>
      <c r="Y544" s="44">
        <v>1</v>
      </c>
      <c r="Z544" s="44">
        <v>0</v>
      </c>
      <c r="AA544" s="52">
        <v>1</v>
      </c>
      <c r="AB544" s="41">
        <v>2023</v>
      </c>
      <c r="AC544" s="33"/>
      <c r="AD544" s="107"/>
      <c r="AE544" s="107"/>
    </row>
    <row r="545" spans="1:31" ht="31.5" x14ac:dyDescent="0.25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40" t="s">
        <v>80</v>
      </c>
      <c r="S545" s="98" t="s">
        <v>9</v>
      </c>
      <c r="T545" s="44">
        <v>0</v>
      </c>
      <c r="U545" s="44">
        <v>0</v>
      </c>
      <c r="V545" s="44">
        <v>0</v>
      </c>
      <c r="W545" s="44">
        <v>0</v>
      </c>
      <c r="X545" s="44">
        <v>0</v>
      </c>
      <c r="Y545" s="44">
        <v>100</v>
      </c>
      <c r="Z545" s="44">
        <v>0</v>
      </c>
      <c r="AA545" s="52">
        <v>100</v>
      </c>
      <c r="AB545" s="41">
        <v>2023</v>
      </c>
      <c r="AC545" s="33"/>
    </row>
    <row r="546" spans="1:31" ht="36" customHeight="1" x14ac:dyDescent="0.25">
      <c r="A546" s="57" t="s">
        <v>18</v>
      </c>
      <c r="B546" s="57" t="s">
        <v>19</v>
      </c>
      <c r="C546" s="57" t="s">
        <v>20</v>
      </c>
      <c r="D546" s="57" t="s">
        <v>18</v>
      </c>
      <c r="E546" s="57" t="s">
        <v>21</v>
      </c>
      <c r="F546" s="57" t="s">
        <v>18</v>
      </c>
      <c r="G546" s="57" t="s">
        <v>22</v>
      </c>
      <c r="H546" s="57" t="s">
        <v>19</v>
      </c>
      <c r="I546" s="57" t="s">
        <v>24</v>
      </c>
      <c r="J546" s="57" t="s">
        <v>18</v>
      </c>
      <c r="K546" s="57" t="s">
        <v>18</v>
      </c>
      <c r="L546" s="57" t="s">
        <v>24</v>
      </c>
      <c r="M546" s="57" t="s">
        <v>18</v>
      </c>
      <c r="N546" s="57" t="s">
        <v>18</v>
      </c>
      <c r="O546" s="57" t="s">
        <v>18</v>
      </c>
      <c r="P546" s="57" t="s">
        <v>18</v>
      </c>
      <c r="Q546" s="57" t="s">
        <v>18</v>
      </c>
      <c r="R546" s="145" t="s">
        <v>334</v>
      </c>
      <c r="S546" s="61" t="s">
        <v>0</v>
      </c>
      <c r="T546" s="62">
        <v>0</v>
      </c>
      <c r="U546" s="62">
        <f>10680+0.8</f>
        <v>10680.8</v>
      </c>
      <c r="V546" s="62">
        <v>0</v>
      </c>
      <c r="W546" s="62">
        <v>0</v>
      </c>
      <c r="X546" s="62">
        <v>0</v>
      </c>
      <c r="Y546" s="62">
        <v>0</v>
      </c>
      <c r="Z546" s="62">
        <v>0</v>
      </c>
      <c r="AA546" s="62">
        <f>T546+U546+V546+W546+X546+Y546</f>
        <v>10680.8</v>
      </c>
      <c r="AB546" s="61">
        <v>2019</v>
      </c>
      <c r="AC546" s="33"/>
      <c r="AD546" s="105"/>
    </row>
    <row r="547" spans="1:31" ht="31.5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40" t="s">
        <v>291</v>
      </c>
      <c r="S547" s="41" t="s">
        <v>38</v>
      </c>
      <c r="T547" s="44">
        <v>0</v>
      </c>
      <c r="U547" s="44">
        <v>7300</v>
      </c>
      <c r="V547" s="44">
        <v>0</v>
      </c>
      <c r="W547" s="44">
        <v>0</v>
      </c>
      <c r="X547" s="44">
        <v>0</v>
      </c>
      <c r="Y547" s="44">
        <v>0</v>
      </c>
      <c r="Z547" s="44">
        <v>0</v>
      </c>
      <c r="AA547" s="52">
        <f>U547</f>
        <v>7300</v>
      </c>
      <c r="AB547" s="41">
        <v>2019</v>
      </c>
      <c r="AC547" s="33"/>
      <c r="AD547" s="107"/>
      <c r="AE547" s="107"/>
    </row>
    <row r="548" spans="1:31" x14ac:dyDescent="0.25">
      <c r="AB548" s="148" t="s">
        <v>58</v>
      </c>
    </row>
    <row r="549" spans="1:31" ht="31.15" customHeight="1" x14ac:dyDescent="0.25"/>
    <row r="550" spans="1:31" ht="40.15" customHeight="1" x14ac:dyDescent="0.25">
      <c r="A550" s="151" t="s">
        <v>345</v>
      </c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151"/>
      <c r="M550" s="151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  <c r="AA550" s="151"/>
      <c r="AB550" s="151"/>
    </row>
  </sheetData>
  <mergeCells count="76">
    <mergeCell ref="A1:AB1"/>
    <mergeCell ref="A3:AB3"/>
    <mergeCell ref="A6:AB6"/>
    <mergeCell ref="A7:AB7"/>
    <mergeCell ref="A8:AB8"/>
    <mergeCell ref="A5:AB5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R41:R45"/>
    <mergeCell ref="R50:R53"/>
    <mergeCell ref="R166:R168"/>
    <mergeCell ref="R173:R176"/>
    <mergeCell ref="R180:R183"/>
    <mergeCell ref="R134:R138"/>
    <mergeCell ref="R71:R76"/>
    <mergeCell ref="R78:R81"/>
    <mergeCell ref="R187:R190"/>
    <mergeCell ref="R194:R197"/>
    <mergeCell ref="R201:R204"/>
    <mergeCell ref="R212:R217"/>
    <mergeCell ref="R221:R224"/>
    <mergeCell ref="R226:R229"/>
    <mergeCell ref="R231:R235"/>
    <mergeCell ref="R237:R241"/>
    <mergeCell ref="R243:R247"/>
    <mergeCell ref="R250:R254"/>
    <mergeCell ref="R265:R269"/>
    <mergeCell ref="R271:R274"/>
    <mergeCell ref="R276:R279"/>
    <mergeCell ref="R281:R284"/>
    <mergeCell ref="R256:R262"/>
    <mergeCell ref="R286:R289"/>
    <mergeCell ref="R291:R294"/>
    <mergeCell ref="R306:R310"/>
    <mergeCell ref="R312:R317"/>
    <mergeCell ref="R296:R303"/>
    <mergeCell ref="R319:R324"/>
    <mergeCell ref="R326:R331"/>
    <mergeCell ref="R333:R338"/>
    <mergeCell ref="R340:R345"/>
    <mergeCell ref="R426:R429"/>
    <mergeCell ref="R347:R352"/>
    <mergeCell ref="R354:R359"/>
    <mergeCell ref="R361:R366"/>
    <mergeCell ref="R368:R372"/>
    <mergeCell ref="R374:R378"/>
    <mergeCell ref="R380:R385"/>
    <mergeCell ref="R396:R400"/>
    <mergeCell ref="R402:R406"/>
    <mergeCell ref="R408:R412"/>
    <mergeCell ref="R414:R418"/>
    <mergeCell ref="R387:R392"/>
    <mergeCell ref="R420:R424"/>
    <mergeCell ref="R495:R496"/>
    <mergeCell ref="R498:R499"/>
    <mergeCell ref="A550:AB550"/>
    <mergeCell ref="R501:R502"/>
    <mergeCell ref="R504:R505"/>
    <mergeCell ref="R507:R508"/>
    <mergeCell ref="R431:R435"/>
    <mergeCell ref="R437:R441"/>
    <mergeCell ref="R443:R447"/>
    <mergeCell ref="R449:R453"/>
    <mergeCell ref="R455:R459"/>
    <mergeCell ref="R512:R514"/>
  </mergeCells>
  <pageMargins left="0.35433070866141736" right="0.31496062992125984" top="0.59055118110236227" bottom="0.60629921259842523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2020-07-16T14:17:13Z</dcterms:modified>
</cp:coreProperties>
</file>